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5" windowWidth="15570" windowHeight="9810" tabRatio="601" firstSheet="3" activeTab="3"/>
  </bookViews>
  <sheets>
    <sheet name="Sheet1 (3)" sheetId="16" state="hidden" r:id="rId1"/>
    <sheet name="Sheet1 (2)" sheetId="15" state="hidden" r:id="rId2"/>
    <sheet name="зпшк" sheetId="4" state="hidden" r:id="rId3"/>
    <sheet name="форма" sheetId="23" r:id="rId4"/>
    <sheet name="форма 1" sheetId="24" r:id="rId5"/>
    <sheet name="норм2016" sheetId="27" r:id="rId6"/>
    <sheet name="прогноз на 20.05.12 (ср.шк)" sheetId="6" state="hidden" r:id="rId7"/>
    <sheet name="прогноз на 20.05.12" sheetId="5" state="hidden" r:id="rId8"/>
    <sheet name="газ" sheetId="28" state="hidden" r:id="rId9"/>
  </sheets>
  <definedNames>
    <definedName name="_xlnm._FilterDatabase" localSheetId="8" hidden="1">газ!$A$10:$J$147</definedName>
    <definedName name="_xlnm._FilterDatabase" localSheetId="2" hidden="1">зпшк!$A$9:$EA$42</definedName>
    <definedName name="_xlnm._FilterDatabase" localSheetId="7" hidden="1">'прогноз на 20.05.12'!$A$6:$BH$83</definedName>
    <definedName name="_xlnm._FilterDatabase" localSheetId="6" hidden="1">'прогноз на 20.05.12 (ср.шк)'!$A$6:$Z$38</definedName>
    <definedName name="_xlnm.Print_Titles" localSheetId="8">газ!$D:$G,газ!$3:$6</definedName>
    <definedName name="_xlnm.Print_Titles" localSheetId="2">зпшк!$A:$B</definedName>
    <definedName name="_xlnm.Print_Titles" localSheetId="6">'прогноз на 20.05.12 (ср.шк)'!$A:$B</definedName>
    <definedName name="_xlnm.Print_Titles" localSheetId="3">форма!$4:$6</definedName>
    <definedName name="_xlnm.Print_Area" localSheetId="8">газ!$A$1:$J$147</definedName>
    <definedName name="_xlnm.Print_Area" localSheetId="2">зпшк!$A$1:$EB$41</definedName>
    <definedName name="_xlnm.Print_Area" localSheetId="6">'прогноз на 20.05.12 (ср.шк)'!$A$1:$BO$38</definedName>
    <definedName name="_xlnm.Print_Area" localSheetId="3">форма!$A$1:$G$55</definedName>
  </definedNames>
  <calcPr calcId="124519"/>
</workbook>
</file>

<file path=xl/calcChain.xml><?xml version="1.0" encoding="utf-8"?>
<calcChain xmlns="http://schemas.openxmlformats.org/spreadsheetml/2006/main">
  <c r="DE17" i="4"/>
  <c r="DI17" l="1"/>
  <c r="CK16" l="1"/>
  <c r="CI16" s="1"/>
  <c r="CK17"/>
  <c r="CK18"/>
  <c r="CK19"/>
  <c r="CK20"/>
  <c r="CK21"/>
  <c r="CK22"/>
  <c r="CK23"/>
  <c r="CK24"/>
  <c r="CK25"/>
  <c r="CK26"/>
  <c r="CK27"/>
  <c r="CK28"/>
  <c r="CK29"/>
  <c r="CK30"/>
  <c r="CK31"/>
  <c r="CK32"/>
  <c r="CK33"/>
  <c r="CK34"/>
  <c r="CK35"/>
  <c r="CK36"/>
  <c r="CK37"/>
  <c r="CK38"/>
  <c r="CK39"/>
  <c r="CK40"/>
  <c r="CK41"/>
  <c r="CK15"/>
  <c r="CI15" s="1"/>
  <c r="CK11"/>
  <c r="CK12"/>
  <c r="CK13"/>
  <c r="CK14"/>
  <c r="CK10"/>
  <c r="CD11"/>
  <c r="CD28"/>
  <c r="CD22"/>
  <c r="CD39"/>
  <c r="DN11" l="1"/>
  <c r="DN12"/>
  <c r="DN13"/>
  <c r="DN14"/>
  <c r="DN15"/>
  <c r="DN16"/>
  <c r="DN17"/>
  <c r="DN18"/>
  <c r="DN19"/>
  <c r="DN20"/>
  <c r="DN21"/>
  <c r="DN22"/>
  <c r="DN23"/>
  <c r="DN24"/>
  <c r="DN25"/>
  <c r="DN26"/>
  <c r="DN27"/>
  <c r="DN28"/>
  <c r="DN29"/>
  <c r="DN30"/>
  <c r="DN31"/>
  <c r="DN32"/>
  <c r="DN33"/>
  <c r="DN34"/>
  <c r="DN35"/>
  <c r="DN36"/>
  <c r="DN37"/>
  <c r="DN38"/>
  <c r="DN39"/>
  <c r="DN40"/>
  <c r="DN41"/>
  <c r="DN10"/>
  <c r="CD13"/>
  <c r="G35" i="23" s="1"/>
  <c r="BQ8" i="4"/>
  <c r="CI13" l="1"/>
  <c r="CJ13" l="1"/>
  <c r="CD8"/>
  <c r="CF10" l="1"/>
  <c r="CF11"/>
  <c r="CF12"/>
  <c r="CF13"/>
  <c r="CF14"/>
  <c r="CF15"/>
  <c r="CF16"/>
  <c r="CF17"/>
  <c r="CF18"/>
  <c r="CF19"/>
  <c r="CF20"/>
  <c r="CF21"/>
  <c r="CF22"/>
  <c r="CF23"/>
  <c r="CF24"/>
  <c r="CF25"/>
  <c r="CF26"/>
  <c r="CF27"/>
  <c r="CF28"/>
  <c r="CF29"/>
  <c r="CF30"/>
  <c r="CF31"/>
  <c r="CF32"/>
  <c r="CF33"/>
  <c r="CF34"/>
  <c r="CF35"/>
  <c r="CF36"/>
  <c r="CF37"/>
  <c r="CF38"/>
  <c r="CF39"/>
  <c r="CF40"/>
  <c r="CF41"/>
  <c r="BP35" l="1"/>
  <c r="BP32"/>
  <c r="CI12" l="1"/>
  <c r="BU11"/>
  <c r="BU12"/>
  <c r="BU13"/>
  <c r="BU14"/>
  <c r="BU15"/>
  <c r="BU16"/>
  <c r="BU17"/>
  <c r="BU18"/>
  <c r="BU19"/>
  <c r="BU20"/>
  <c r="BU21"/>
  <c r="BU22"/>
  <c r="BU23"/>
  <c r="BU24"/>
  <c r="BU25"/>
  <c r="BU26"/>
  <c r="BU27"/>
  <c r="BU28"/>
  <c r="BU29"/>
  <c r="BU30"/>
  <c r="BU31"/>
  <c r="BU32"/>
  <c r="BU33"/>
  <c r="BU34"/>
  <c r="BU35"/>
  <c r="BU36"/>
  <c r="BU37"/>
  <c r="BU38"/>
  <c r="BU39"/>
  <c r="BU40"/>
  <c r="BU41"/>
  <c r="BU10"/>
  <c r="CJ12" l="1"/>
  <c r="J17" i="28" l="1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AI14" i="4" s="1"/>
  <c r="J121" i="28"/>
  <c r="AI15" i="4" s="1"/>
  <c r="J122" i="28"/>
  <c r="J123"/>
  <c r="AI17" i="4" s="1"/>
  <c r="J124" i="28"/>
  <c r="AI18" i="4" s="1"/>
  <c r="J125" i="28"/>
  <c r="AI19" i="4" s="1"/>
  <c r="J126" i="28"/>
  <c r="AI20" i="4" s="1"/>
  <c r="J127" i="28"/>
  <c r="AI21" i="4" s="1"/>
  <c r="J128" i="28"/>
  <c r="AI22" i="4" s="1"/>
  <c r="J129" i="28"/>
  <c r="AI23" i="4" s="1"/>
  <c r="J130" i="28"/>
  <c r="AI24" i="4" s="1"/>
  <c r="J131" i="28"/>
  <c r="J132"/>
  <c r="J133"/>
  <c r="J134"/>
  <c r="J135"/>
  <c r="J136"/>
  <c r="J137"/>
  <c r="J138"/>
  <c r="J139"/>
  <c r="J140"/>
  <c r="AI34" i="4" s="1"/>
  <c r="J141" i="28"/>
  <c r="J142"/>
  <c r="J143"/>
  <c r="J144"/>
  <c r="AI38" i="4" s="1"/>
  <c r="J145" i="28"/>
  <c r="J146"/>
  <c r="J147"/>
  <c r="J13"/>
  <c r="J14"/>
  <c r="J15"/>
  <c r="J16"/>
  <c r="J12"/>
  <c r="AI16" i="4" l="1"/>
  <c r="AI31"/>
  <c r="AI12"/>
  <c r="AI30"/>
  <c r="AI37"/>
  <c r="AI25"/>
  <c r="AI28"/>
  <c r="AI33"/>
  <c r="AI13"/>
  <c r="AI26"/>
  <c r="AI27"/>
  <c r="AI39"/>
  <c r="AI10"/>
  <c r="AI36"/>
  <c r="AI35"/>
  <c r="AI40"/>
  <c r="AI32"/>
  <c r="AI41"/>
  <c r="AI29"/>
  <c r="AI11"/>
  <c r="J11" i="28"/>
  <c r="E1"/>
  <c r="H9" l="1"/>
  <c r="J9" l="1"/>
  <c r="I9" l="1"/>
  <c r="AF19" i="4" l="1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11"/>
  <c r="AF12"/>
  <c r="AF13"/>
  <c r="AF14"/>
  <c r="AF15"/>
  <c r="AF16"/>
  <c r="AF17"/>
  <c r="AF18"/>
  <c r="AF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10"/>
  <c r="BT12"/>
  <c r="BT13"/>
  <c r="BT14"/>
  <c r="BT15"/>
  <c r="BT16"/>
  <c r="BT17"/>
  <c r="BT18"/>
  <c r="BT19"/>
  <c r="BT20"/>
  <c r="BT21"/>
  <c r="BT22"/>
  <c r="BT23"/>
  <c r="BT24"/>
  <c r="BT25"/>
  <c r="BT26"/>
  <c r="BT27"/>
  <c r="BT28"/>
  <c r="BT29"/>
  <c r="BT30"/>
  <c r="BT31"/>
  <c r="BT32"/>
  <c r="BT33"/>
  <c r="BT34"/>
  <c r="BT35"/>
  <c r="BT36"/>
  <c r="BT37"/>
  <c r="BT38"/>
  <c r="BT39"/>
  <c r="BT40"/>
  <c r="BT41"/>
  <c r="BT11"/>
  <c r="BT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10"/>
  <c r="Q28"/>
  <c r="M11"/>
  <c r="P11" s="1"/>
  <c r="M12"/>
  <c r="P12" s="1"/>
  <c r="M13"/>
  <c r="P13" s="1"/>
  <c r="M14"/>
  <c r="P14" s="1"/>
  <c r="M15"/>
  <c r="P15" s="1"/>
  <c r="M16"/>
  <c r="P16" s="1"/>
  <c r="M17"/>
  <c r="P17" s="1"/>
  <c r="M18"/>
  <c r="P18" s="1"/>
  <c r="M19"/>
  <c r="P19" s="1"/>
  <c r="M20"/>
  <c r="P20" s="1"/>
  <c r="M21"/>
  <c r="P21" s="1"/>
  <c r="M22"/>
  <c r="P22" s="1"/>
  <c r="M23"/>
  <c r="P23" s="1"/>
  <c r="M24"/>
  <c r="P24" s="1"/>
  <c r="M25"/>
  <c r="P25" s="1"/>
  <c r="M26"/>
  <c r="P26" s="1"/>
  <c r="M27"/>
  <c r="P27" s="1"/>
  <c r="M28"/>
  <c r="P28" s="1"/>
  <c r="M29"/>
  <c r="P29" s="1"/>
  <c r="M30"/>
  <c r="P30" s="1"/>
  <c r="M31"/>
  <c r="P31" s="1"/>
  <c r="M32"/>
  <c r="P32" s="1"/>
  <c r="M33"/>
  <c r="P33" s="1"/>
  <c r="M34"/>
  <c r="P34" s="1"/>
  <c r="M35"/>
  <c r="P35" s="1"/>
  <c r="M36"/>
  <c r="P36" s="1"/>
  <c r="M37"/>
  <c r="P37" s="1"/>
  <c r="M38"/>
  <c r="P38" s="1"/>
  <c r="M39"/>
  <c r="P39" s="1"/>
  <c r="M40"/>
  <c r="P40" s="1"/>
  <c r="M41"/>
  <c r="P41" s="1"/>
  <c r="M10"/>
  <c r="P10" s="1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G42" i="23" l="1"/>
  <c r="G46"/>
  <c r="G47"/>
  <c r="G48"/>
  <c r="G29"/>
  <c r="G30"/>
  <c r="G31"/>
  <c r="G32"/>
  <c r="G34"/>
  <c r="C1" i="24" l="1"/>
  <c r="B1" i="23"/>
  <c r="B1" i="24" l="1"/>
  <c r="DM11" i="4" l="1"/>
  <c r="DM12"/>
  <c r="DM13"/>
  <c r="DM14"/>
  <c r="DM15"/>
  <c r="DM16"/>
  <c r="DM17"/>
  <c r="DM18"/>
  <c r="DM19"/>
  <c r="DM20"/>
  <c r="DM21"/>
  <c r="DM22"/>
  <c r="DM23"/>
  <c r="DM24"/>
  <c r="DM25"/>
  <c r="DM26"/>
  <c r="DM27"/>
  <c r="DM28"/>
  <c r="DM29"/>
  <c r="DM30"/>
  <c r="DM31"/>
  <c r="DM32"/>
  <c r="DM33"/>
  <c r="DM34"/>
  <c r="DM35"/>
  <c r="DM36"/>
  <c r="DM37"/>
  <c r="DM38"/>
  <c r="DM39"/>
  <c r="DM40"/>
  <c r="DM41"/>
  <c r="DM10"/>
  <c r="G33" i="23" l="1"/>
  <c r="CF8" i="4" l="1"/>
  <c r="BY8"/>
  <c r="BX8"/>
  <c r="CA8"/>
  <c r="BZ8"/>
  <c r="CB8" l="1"/>
  <c r="C12" i="24" l="1"/>
  <c r="DA4" i="4"/>
  <c r="CI11" l="1"/>
  <c r="CI14"/>
  <c r="CJ14" l="1"/>
  <c r="CJ11"/>
  <c r="C13" i="24"/>
  <c r="BP8" i="4" l="1"/>
  <c r="BC15"/>
  <c r="DK15" s="1"/>
  <c r="BB8"/>
  <c r="BA8"/>
  <c r="AZ8"/>
  <c r="AY8"/>
  <c r="AX8"/>
  <c r="AW8"/>
  <c r="AV8"/>
  <c r="BH11"/>
  <c r="BI11"/>
  <c r="BM11"/>
  <c r="BN11"/>
  <c r="BI12"/>
  <c r="BI13"/>
  <c r="BH14"/>
  <c r="BI14"/>
  <c r="BM14"/>
  <c r="BN14"/>
  <c r="BH15"/>
  <c r="BI15"/>
  <c r="BM15"/>
  <c r="BN15"/>
  <c r="BH21"/>
  <c r="BI21"/>
  <c r="BM21"/>
  <c r="BN21"/>
  <c r="BH22"/>
  <c r="BI22"/>
  <c r="BM22"/>
  <c r="BN22"/>
  <c r="BH23"/>
  <c r="BI23"/>
  <c r="BM23"/>
  <c r="BN23"/>
  <c r="BH24"/>
  <c r="BI24"/>
  <c r="BM24"/>
  <c r="BN24"/>
  <c r="BH25"/>
  <c r="BI25"/>
  <c r="BM25"/>
  <c r="BN25"/>
  <c r="BH26"/>
  <c r="BI26"/>
  <c r="BM26"/>
  <c r="BN26"/>
  <c r="BI27"/>
  <c r="BH28"/>
  <c r="BI28"/>
  <c r="BM28"/>
  <c r="BN28"/>
  <c r="BH29"/>
  <c r="BI29"/>
  <c r="BM29"/>
  <c r="BN29"/>
  <c r="BH30"/>
  <c r="BI30"/>
  <c r="BM30"/>
  <c r="BN30"/>
  <c r="BH31"/>
  <c r="BI31"/>
  <c r="BM31"/>
  <c r="BN31"/>
  <c r="BH32"/>
  <c r="BI32"/>
  <c r="BM32"/>
  <c r="BN32"/>
  <c r="BH33"/>
  <c r="BI33"/>
  <c r="BM33"/>
  <c r="BN33"/>
  <c r="BH35"/>
  <c r="BI35"/>
  <c r="BM35"/>
  <c r="BN35"/>
  <c r="BH36"/>
  <c r="BI36"/>
  <c r="BM36"/>
  <c r="BN36"/>
  <c r="BH37"/>
  <c r="BI37"/>
  <c r="BM37"/>
  <c r="BN37"/>
  <c r="BH38"/>
  <c r="BI38"/>
  <c r="BM38"/>
  <c r="BN38"/>
  <c r="BH39"/>
  <c r="BI39"/>
  <c r="BM39"/>
  <c r="BN39"/>
  <c r="BH40"/>
  <c r="BI40"/>
  <c r="BM40"/>
  <c r="BN40"/>
  <c r="BH41"/>
  <c r="BI41"/>
  <c r="BM41"/>
  <c r="BN41"/>
  <c r="BH10"/>
  <c r="BI10"/>
  <c r="BM10"/>
  <c r="BN10"/>
  <c r="AS8" l="1"/>
  <c r="CI10"/>
  <c r="AF8" l="1"/>
  <c r="CI41"/>
  <c r="CI40"/>
  <c r="CI39"/>
  <c r="CI38"/>
  <c r="CI37"/>
  <c r="CI36"/>
  <c r="CI35"/>
  <c r="CI34"/>
  <c r="CI33"/>
  <c r="CI32"/>
  <c r="CI31"/>
  <c r="CI30"/>
  <c r="CI29"/>
  <c r="CI28"/>
  <c r="CI27"/>
  <c r="CI26"/>
  <c r="CI25"/>
  <c r="CI24"/>
  <c r="CI23"/>
  <c r="CI22"/>
  <c r="CI21"/>
  <c r="CI20"/>
  <c r="CI19"/>
  <c r="CI18"/>
  <c r="CI17"/>
  <c r="CJ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10"/>
  <c r="CJ15" l="1"/>
  <c r="CJ16"/>
  <c r="CJ18"/>
  <c r="CJ20"/>
  <c r="CJ22"/>
  <c r="CJ24"/>
  <c r="CJ26"/>
  <c r="CJ28"/>
  <c r="CJ30"/>
  <c r="CJ32"/>
  <c r="CJ34"/>
  <c r="CJ36"/>
  <c r="CJ38"/>
  <c r="CJ40"/>
  <c r="CJ17"/>
  <c r="CJ19"/>
  <c r="CJ21"/>
  <c r="CJ23"/>
  <c r="CJ25"/>
  <c r="CJ27"/>
  <c r="CJ29"/>
  <c r="CJ31"/>
  <c r="CJ33"/>
  <c r="CJ35"/>
  <c r="CJ37"/>
  <c r="CJ39"/>
  <c r="CJ41"/>
  <c r="CJ48" i="15" l="1"/>
  <c r="CD48"/>
  <c r="CA48"/>
  <c r="CA52"/>
  <c r="CJ47"/>
  <c r="CI48" s="1"/>
  <c r="BQ48"/>
  <c r="CW48"/>
  <c r="CC48"/>
  <c r="BQ49" l="1"/>
  <c r="BQ50" s="1"/>
  <c r="DN8" i="4"/>
  <c r="DM8"/>
  <c r="DJ8" l="1"/>
  <c r="DL8"/>
  <c r="R28" l="1"/>
  <c r="DO15" l="1"/>
  <c r="S28" l="1"/>
  <c r="J10" l="1"/>
  <c r="J12"/>
  <c r="J16"/>
  <c r="J18"/>
  <c r="J22"/>
  <c r="J26"/>
  <c r="J30"/>
  <c r="J34"/>
  <c r="J11"/>
  <c r="J13"/>
  <c r="J15"/>
  <c r="J17"/>
  <c r="J19"/>
  <c r="J21"/>
  <c r="J23"/>
  <c r="J25"/>
  <c r="J27"/>
  <c r="J29"/>
  <c r="J31"/>
  <c r="J33"/>
  <c r="J35"/>
  <c r="J37"/>
  <c r="J39"/>
  <c r="J41"/>
  <c r="J14"/>
  <c r="J20"/>
  <c r="J24"/>
  <c r="J28"/>
  <c r="J32"/>
  <c r="J36"/>
  <c r="J38"/>
  <c r="J40"/>
  <c r="T28"/>
  <c r="K37" l="1"/>
  <c r="K33"/>
  <c r="K29"/>
  <c r="K25"/>
  <c r="K21"/>
  <c r="K17"/>
  <c r="K13"/>
  <c r="K35"/>
  <c r="K31"/>
  <c r="K27"/>
  <c r="K23"/>
  <c r="K19"/>
  <c r="K15"/>
  <c r="K11"/>
  <c r="K41"/>
  <c r="K39"/>
  <c r="K38"/>
  <c r="K34"/>
  <c r="K24"/>
  <c r="K18"/>
  <c r="K32"/>
  <c r="K14"/>
  <c r="K26"/>
  <c r="K12"/>
  <c r="K40"/>
  <c r="K36"/>
  <c r="K28"/>
  <c r="K20"/>
  <c r="K30"/>
  <c r="K22"/>
  <c r="K16"/>
  <c r="K10"/>
  <c r="CC8" l="1"/>
  <c r="CE8"/>
  <c r="CU11" l="1"/>
  <c r="CU12"/>
  <c r="CU13"/>
  <c r="CU14"/>
  <c r="CU15"/>
  <c r="CU16"/>
  <c r="CU17"/>
  <c r="CU18"/>
  <c r="CU19"/>
  <c r="CU20"/>
  <c r="CU21"/>
  <c r="CU22"/>
  <c r="CU23"/>
  <c r="CU24"/>
  <c r="CU25"/>
  <c r="CU26"/>
  <c r="CU28"/>
  <c r="CU29"/>
  <c r="CU30"/>
  <c r="CU31"/>
  <c r="CU32"/>
  <c r="CU33"/>
  <c r="CU34"/>
  <c r="CU35"/>
  <c r="CU36"/>
  <c r="CU37"/>
  <c r="CU38"/>
  <c r="CU39"/>
  <c r="CU40"/>
  <c r="CU41"/>
  <c r="CU10"/>
  <c r="BV15" l="1"/>
  <c r="BV41" l="1"/>
  <c r="BV39"/>
  <c r="BV37"/>
  <c r="BV35"/>
  <c r="BV33"/>
  <c r="BV31"/>
  <c r="BV29"/>
  <c r="BV27"/>
  <c r="BV25"/>
  <c r="BV23"/>
  <c r="BV21"/>
  <c r="BV19"/>
  <c r="BV17"/>
  <c r="BV13"/>
  <c r="BV11"/>
  <c r="BV40"/>
  <c r="BV38"/>
  <c r="BV36"/>
  <c r="BV34"/>
  <c r="BV32"/>
  <c r="BV30"/>
  <c r="BV28"/>
  <c r="BV26"/>
  <c r="BV24"/>
  <c r="BV22"/>
  <c r="BV20"/>
  <c r="BV18"/>
  <c r="BV16"/>
  <c r="BV14"/>
  <c r="BV12"/>
  <c r="BV10"/>
  <c r="DA41"/>
  <c r="DA39"/>
  <c r="DA37"/>
  <c r="DA35"/>
  <c r="DA33"/>
  <c r="DA31"/>
  <c r="DA29"/>
  <c r="DA25"/>
  <c r="DA23"/>
  <c r="DA21"/>
  <c r="DA19"/>
  <c r="DA17"/>
  <c r="DA15"/>
  <c r="DA13"/>
  <c r="DA11"/>
  <c r="DA40"/>
  <c r="DA38"/>
  <c r="DA36"/>
  <c r="DA34"/>
  <c r="DA32"/>
  <c r="DA30"/>
  <c r="DA28"/>
  <c r="DA26"/>
  <c r="DA24"/>
  <c r="DA22"/>
  <c r="DA20"/>
  <c r="DA18"/>
  <c r="DA16"/>
  <c r="DA14"/>
  <c r="DA12"/>
  <c r="DA10"/>
  <c r="DA27"/>
  <c r="Y15"/>
  <c r="CU27"/>
  <c r="CU8" s="1"/>
  <c r="X8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4"/>
  <c r="Y13"/>
  <c r="Y12"/>
  <c r="Y11"/>
  <c r="Y10"/>
  <c r="BC38" i="6"/>
  <c r="BC37"/>
  <c r="BC36"/>
  <c r="BC35"/>
  <c r="BC34"/>
  <c r="BC33"/>
  <c r="BC32"/>
  <c r="BC31"/>
  <c r="BC30"/>
  <c r="BC29"/>
  <c r="BC28"/>
  <c r="BC27"/>
  <c r="BC26"/>
  <c r="BC25"/>
  <c r="BC24"/>
  <c r="BC23"/>
  <c r="BC22"/>
  <c r="BC21"/>
  <c r="BC20"/>
  <c r="BC19"/>
  <c r="BC18"/>
  <c r="BC17"/>
  <c r="BC16"/>
  <c r="BC15"/>
  <c r="BC14"/>
  <c r="BC13"/>
  <c r="BC12"/>
  <c r="AC12"/>
  <c r="BC11"/>
  <c r="BC10"/>
  <c r="BC9"/>
  <c r="BC8"/>
  <c r="Z8"/>
  <c r="Z9"/>
  <c r="Z10"/>
  <c r="Z11"/>
  <c r="Z12"/>
  <c r="Z13"/>
  <c r="Z14"/>
  <c r="Z15"/>
  <c r="Z16"/>
  <c r="Z17"/>
  <c r="Z18"/>
  <c r="Z19"/>
  <c r="Z20"/>
  <c r="Z21"/>
  <c r="BC7"/>
  <c r="BC5" s="1"/>
  <c r="Z7"/>
  <c r="BI8" i="5"/>
  <c r="BJ8"/>
  <c r="BK8"/>
  <c r="BI9"/>
  <c r="BJ9"/>
  <c r="BK9"/>
  <c r="BI10"/>
  <c r="BJ10"/>
  <c r="BK10"/>
  <c r="BI11"/>
  <c r="BJ11"/>
  <c r="BK11"/>
  <c r="BI12"/>
  <c r="BJ12"/>
  <c r="BK12"/>
  <c r="BI13"/>
  <c r="BJ13"/>
  <c r="BK13"/>
  <c r="BI14"/>
  <c r="BJ14"/>
  <c r="BK14"/>
  <c r="BI15"/>
  <c r="BJ15"/>
  <c r="BK15"/>
  <c r="BI16"/>
  <c r="BJ16"/>
  <c r="BK16"/>
  <c r="BI17"/>
  <c r="BJ17"/>
  <c r="BK17"/>
  <c r="BI18"/>
  <c r="BJ18"/>
  <c r="BK18"/>
  <c r="BI19"/>
  <c r="BJ19"/>
  <c r="BK19"/>
  <c r="BI20"/>
  <c r="BJ20"/>
  <c r="BK20"/>
  <c r="BI21"/>
  <c r="BJ21"/>
  <c r="BK21"/>
  <c r="BI22"/>
  <c r="BJ22"/>
  <c r="BK22"/>
  <c r="BI23"/>
  <c r="BJ23"/>
  <c r="BK23"/>
  <c r="BI24"/>
  <c r="BJ24"/>
  <c r="BK24"/>
  <c r="BI25"/>
  <c r="BJ25"/>
  <c r="BK25"/>
  <c r="BI26"/>
  <c r="BJ26"/>
  <c r="BK26"/>
  <c r="BI27"/>
  <c r="BJ27"/>
  <c r="BK27"/>
  <c r="BI28"/>
  <c r="BJ28"/>
  <c r="BK28"/>
  <c r="BI29"/>
  <c r="BJ29"/>
  <c r="BK29"/>
  <c r="BI30"/>
  <c r="BJ30"/>
  <c r="BK30"/>
  <c r="BI31"/>
  <c r="BJ31"/>
  <c r="BK31"/>
  <c r="BI32"/>
  <c r="BJ32"/>
  <c r="BK32"/>
  <c r="BI33"/>
  <c r="BJ33"/>
  <c r="BK33"/>
  <c r="BI34"/>
  <c r="BJ34"/>
  <c r="BK34"/>
  <c r="BI35"/>
  <c r="BJ35"/>
  <c r="BK35"/>
  <c r="BI36"/>
  <c r="BJ36"/>
  <c r="BK36"/>
  <c r="BI37"/>
  <c r="BJ37"/>
  <c r="BK37"/>
  <c r="BI38"/>
  <c r="BJ38"/>
  <c r="BK38"/>
  <c r="BI39"/>
  <c r="BJ39"/>
  <c r="BK39"/>
  <c r="BI40"/>
  <c r="BJ40"/>
  <c r="BK40"/>
  <c r="BI41"/>
  <c r="BJ41"/>
  <c r="BK41"/>
  <c r="BI42"/>
  <c r="BJ42"/>
  <c r="BK42"/>
  <c r="BI43"/>
  <c r="BJ43"/>
  <c r="BK43"/>
  <c r="BI44"/>
  <c r="BJ44"/>
  <c r="BK44"/>
  <c r="BI45"/>
  <c r="BJ45"/>
  <c r="BK45"/>
  <c r="BI46"/>
  <c r="BJ46"/>
  <c r="BK46"/>
  <c r="BI47"/>
  <c r="BJ47"/>
  <c r="BK47"/>
  <c r="BI48"/>
  <c r="BJ48"/>
  <c r="BK48"/>
  <c r="BI49"/>
  <c r="BJ49"/>
  <c r="BK49"/>
  <c r="BI50"/>
  <c r="BJ50"/>
  <c r="BK50"/>
  <c r="BI51"/>
  <c r="BJ51"/>
  <c r="BK51"/>
  <c r="BI52"/>
  <c r="BJ52"/>
  <c r="BK52"/>
  <c r="BI53"/>
  <c r="BJ53"/>
  <c r="BK53"/>
  <c r="BI54"/>
  <c r="BJ54"/>
  <c r="BK54"/>
  <c r="BI55"/>
  <c r="BJ55"/>
  <c r="BK55"/>
  <c r="BI56"/>
  <c r="BJ56"/>
  <c r="BK56"/>
  <c r="BI57"/>
  <c r="BJ57"/>
  <c r="BK57"/>
  <c r="BI58"/>
  <c r="BJ58"/>
  <c r="BK58"/>
  <c r="BI59"/>
  <c r="BJ59"/>
  <c r="BK59"/>
  <c r="BI60"/>
  <c r="BJ60"/>
  <c r="BK60"/>
  <c r="BI61"/>
  <c r="BJ61"/>
  <c r="BK61"/>
  <c r="BI62"/>
  <c r="BJ62"/>
  <c r="BK62"/>
  <c r="BI63"/>
  <c r="BJ63"/>
  <c r="BK63"/>
  <c r="BI64"/>
  <c r="BJ64"/>
  <c r="BK64"/>
  <c r="BI65"/>
  <c r="BJ65"/>
  <c r="BK65"/>
  <c r="BI66"/>
  <c r="BJ66"/>
  <c r="BK66"/>
  <c r="BI67"/>
  <c r="BJ67"/>
  <c r="BK67"/>
  <c r="BI68"/>
  <c r="BJ68"/>
  <c r="BK68"/>
  <c r="BI69"/>
  <c r="BJ69"/>
  <c r="BK69"/>
  <c r="BI70"/>
  <c r="BJ70"/>
  <c r="BK70"/>
  <c r="BI71"/>
  <c r="BJ71"/>
  <c r="BK71"/>
  <c r="BI72"/>
  <c r="BJ72"/>
  <c r="BK72"/>
  <c r="BI73"/>
  <c r="BJ73"/>
  <c r="BK73"/>
  <c r="BI74"/>
  <c r="BJ74"/>
  <c r="BK74"/>
  <c r="BI75"/>
  <c r="BJ75"/>
  <c r="BK75"/>
  <c r="BI76"/>
  <c r="BJ76"/>
  <c r="BK76"/>
  <c r="BI77"/>
  <c r="BJ77"/>
  <c r="BK77"/>
  <c r="BI78"/>
  <c r="BJ78"/>
  <c r="BK78"/>
  <c r="BI79"/>
  <c r="BJ79"/>
  <c r="BK79"/>
  <c r="BI80"/>
  <c r="BJ80"/>
  <c r="BK80"/>
  <c r="BI81"/>
  <c r="BJ81"/>
  <c r="BK81"/>
  <c r="BI82"/>
  <c r="BJ82"/>
  <c r="BK82"/>
  <c r="BI83"/>
  <c r="BJ83"/>
  <c r="BK83"/>
  <c r="BJ7"/>
  <c r="BK7"/>
  <c r="BI7"/>
  <c r="BD8"/>
  <c r="BE8"/>
  <c r="BD9"/>
  <c r="BE9"/>
  <c r="BD10"/>
  <c r="BE10"/>
  <c r="BD11"/>
  <c r="BE11"/>
  <c r="BD12"/>
  <c r="BE12"/>
  <c r="BD13"/>
  <c r="BE13"/>
  <c r="BD14"/>
  <c r="BE14"/>
  <c r="BD15"/>
  <c r="BE15"/>
  <c r="BD16"/>
  <c r="BE16"/>
  <c r="BD17"/>
  <c r="BE17"/>
  <c r="BD18"/>
  <c r="BE18"/>
  <c r="BD19"/>
  <c r="BD11" i="6" s="1"/>
  <c r="BE19" i="5"/>
  <c r="BE11" i="6" s="1"/>
  <c r="BD20" i="5"/>
  <c r="BE20"/>
  <c r="BD21"/>
  <c r="BE21"/>
  <c r="BD22"/>
  <c r="BE22"/>
  <c r="BD23"/>
  <c r="BE23"/>
  <c r="BD24"/>
  <c r="BE24"/>
  <c r="BD25"/>
  <c r="BE25"/>
  <c r="BD26"/>
  <c r="BD12" i="6" s="1"/>
  <c r="BE26" i="5"/>
  <c r="BE12" i="6" s="1"/>
  <c r="BD27" i="5"/>
  <c r="BE27"/>
  <c r="BD28"/>
  <c r="BE28"/>
  <c r="BD29"/>
  <c r="BE29"/>
  <c r="BD30"/>
  <c r="BE30"/>
  <c r="BD31"/>
  <c r="BE31"/>
  <c r="BD32"/>
  <c r="BE32"/>
  <c r="BD33"/>
  <c r="BE33"/>
  <c r="BD34"/>
  <c r="BE34"/>
  <c r="BD35"/>
  <c r="BE35"/>
  <c r="BD36"/>
  <c r="BD14" i="6" s="1"/>
  <c r="BE36" i="5"/>
  <c r="BE14" i="6" s="1"/>
  <c r="BD37" i="5"/>
  <c r="BD15" i="6" s="1"/>
  <c r="BE37" i="5"/>
  <c r="BE15" i="6" s="1"/>
  <c r="BD38" i="5"/>
  <c r="BD16" i="6" s="1"/>
  <c r="BE38" i="5"/>
  <c r="BE16" i="6" s="1"/>
  <c r="BD39" i="5"/>
  <c r="BD17" i="6" s="1"/>
  <c r="BE39" i="5"/>
  <c r="BE17" i="6" s="1"/>
  <c r="BD40" i="5"/>
  <c r="BE40"/>
  <c r="BD41"/>
  <c r="BD18" i="6" s="1"/>
  <c r="BE41" i="5"/>
  <c r="BE18" i="6" s="1"/>
  <c r="BD42" i="5"/>
  <c r="BD19" i="6" s="1"/>
  <c r="BE42" i="5"/>
  <c r="BE19" i="6" s="1"/>
  <c r="BD43" i="5"/>
  <c r="BE43"/>
  <c r="BD44"/>
  <c r="BD20" i="6" s="1"/>
  <c r="BE44" i="5"/>
  <c r="BE20" i="6" s="1"/>
  <c r="BD45" i="5"/>
  <c r="BD21" i="6" s="1"/>
  <c r="BE45" i="5"/>
  <c r="BE21" i="6" s="1"/>
  <c r="BD46" i="5"/>
  <c r="BD22" i="6" s="1"/>
  <c r="BE46" i="5"/>
  <c r="BE22" i="6" s="1"/>
  <c r="BD47" i="5"/>
  <c r="BE47"/>
  <c r="BD48"/>
  <c r="BE48"/>
  <c r="BD49"/>
  <c r="BE49"/>
  <c r="BD50"/>
  <c r="BE50"/>
  <c r="BD51"/>
  <c r="BE51"/>
  <c r="BD52"/>
  <c r="BE52"/>
  <c r="BD53"/>
  <c r="BD25" i="6" s="1"/>
  <c r="BE53" i="5"/>
  <c r="BE25" i="6" s="1"/>
  <c r="BD54" i="5"/>
  <c r="BD26" i="6" s="1"/>
  <c r="BE54" i="5"/>
  <c r="BE26" i="6" s="1"/>
  <c r="BD55" i="5"/>
  <c r="BE55"/>
  <c r="BD56"/>
  <c r="BE56"/>
  <c r="BD57"/>
  <c r="BD28" i="6" s="1"/>
  <c r="BE57" i="5"/>
  <c r="BE28" i="6" s="1"/>
  <c r="BD58" i="5"/>
  <c r="BE58"/>
  <c r="BD59"/>
  <c r="BE59"/>
  <c r="BD60"/>
  <c r="BD30" i="6" s="1"/>
  <c r="BE60" i="5"/>
  <c r="BE30" i="6" s="1"/>
  <c r="BD61" i="5"/>
  <c r="BE61"/>
  <c r="BD62"/>
  <c r="BD31" i="6" s="1"/>
  <c r="BE62" i="5"/>
  <c r="BE31" i="6" s="1"/>
  <c r="BD63" i="5"/>
  <c r="BE63"/>
  <c r="BD64"/>
  <c r="BE64"/>
  <c r="BD65"/>
  <c r="BE65"/>
  <c r="BD66"/>
  <c r="BD33" i="6" s="1"/>
  <c r="BE66" i="5"/>
  <c r="BE33" i="6" s="1"/>
  <c r="BD67" i="5"/>
  <c r="BD34" i="6" s="1"/>
  <c r="BE67" i="5"/>
  <c r="BE34" i="6" s="1"/>
  <c r="BD68" i="5"/>
  <c r="BE68"/>
  <c r="BD69"/>
  <c r="BE69"/>
  <c r="BD70"/>
  <c r="BE70"/>
  <c r="BD71"/>
  <c r="BE71"/>
  <c r="BD72"/>
  <c r="BE72"/>
  <c r="BD73"/>
  <c r="BE73"/>
  <c r="BD74"/>
  <c r="BE74"/>
  <c r="BD75"/>
  <c r="BE75"/>
  <c r="BD76"/>
  <c r="BD36" i="6" s="1"/>
  <c r="BE76" i="5"/>
  <c r="BE36" i="6" s="1"/>
  <c r="BD77" i="5"/>
  <c r="BE77"/>
  <c r="BD78"/>
  <c r="BE78"/>
  <c r="BD79"/>
  <c r="BE79"/>
  <c r="BD80"/>
  <c r="BD37" i="6" s="1"/>
  <c r="BE80" i="5"/>
  <c r="BE37" i="6" s="1"/>
  <c r="BD81" i="5"/>
  <c r="BE81"/>
  <c r="BD82"/>
  <c r="BD38" i="6" s="1"/>
  <c r="BE82" i="5"/>
  <c r="BE38" i="6" s="1"/>
  <c r="BD83" i="5"/>
  <c r="BE83"/>
  <c r="BE7"/>
  <c r="BD7"/>
  <c r="BC5"/>
  <c r="E5"/>
  <c r="BJ5" s="1"/>
  <c r="F5"/>
  <c r="H5"/>
  <c r="I5"/>
  <c r="J5"/>
  <c r="L5"/>
  <c r="M5"/>
  <c r="N5"/>
  <c r="P5"/>
  <c r="Q5"/>
  <c r="R5"/>
  <c r="D5"/>
  <c r="BI5" l="1"/>
  <c r="BK5"/>
  <c r="BD8" i="6"/>
  <c r="BD7"/>
  <c r="BE10"/>
  <c r="BE9"/>
  <c r="BE8"/>
  <c r="BE7"/>
  <c r="BD35"/>
  <c r="BD32"/>
  <c r="BD29"/>
  <c r="BD27"/>
  <c r="BD24"/>
  <c r="BD23"/>
  <c r="BD13"/>
  <c r="BD10"/>
  <c r="BD9"/>
  <c r="BD5" s="1"/>
  <c r="BD5" i="5"/>
  <c r="BE35" i="6"/>
  <c r="BE32"/>
  <c r="BE29"/>
  <c r="BE27"/>
  <c r="BE24"/>
  <c r="BE23"/>
  <c r="BE13"/>
  <c r="BE5" s="1"/>
  <c r="Z15" i="4"/>
  <c r="Z10"/>
  <c r="Z12"/>
  <c r="Z14"/>
  <c r="Z16"/>
  <c r="Z18"/>
  <c r="Z20"/>
  <c r="Z22"/>
  <c r="Z24"/>
  <c r="Z26"/>
  <c r="Z28"/>
  <c r="Z30"/>
  <c r="Z32"/>
  <c r="Z34"/>
  <c r="Z36"/>
  <c r="Z38"/>
  <c r="Z40"/>
  <c r="Z11"/>
  <c r="Z13"/>
  <c r="Z17"/>
  <c r="Z19"/>
  <c r="Z23"/>
  <c r="Z27"/>
  <c r="Z29"/>
  <c r="Z31"/>
  <c r="Z33"/>
  <c r="Z35"/>
  <c r="Z37"/>
  <c r="Z39"/>
  <c r="Z41"/>
  <c r="Z25"/>
  <c r="Z21"/>
  <c r="Y8"/>
  <c r="Z5" i="6"/>
  <c r="BE5" i="5"/>
  <c r="AA29" i="4" l="1"/>
  <c r="CT29" s="1"/>
  <c r="AA27"/>
  <c r="CT27" s="1"/>
  <c r="AA15"/>
  <c r="CT15" s="1"/>
  <c r="AA19"/>
  <c r="AA38"/>
  <c r="AA34"/>
  <c r="CT34" s="1"/>
  <c r="AA30"/>
  <c r="AA26"/>
  <c r="AA22"/>
  <c r="AA18"/>
  <c r="AA14"/>
  <c r="AA21"/>
  <c r="AA39"/>
  <c r="AA35"/>
  <c r="AA31"/>
  <c r="AA25"/>
  <c r="AA41"/>
  <c r="AA37"/>
  <c r="AA33"/>
  <c r="AA23"/>
  <c r="AA17"/>
  <c r="AA13"/>
  <c r="AA40"/>
  <c r="AA36"/>
  <c r="AA32"/>
  <c r="AA28"/>
  <c r="AA24"/>
  <c r="AA20"/>
  <c r="AA16"/>
  <c r="AA12"/>
  <c r="CT12" s="1"/>
  <c r="AA10"/>
  <c r="Z8"/>
  <c r="AA11"/>
  <c r="AT83" i="5"/>
  <c r="AT82"/>
  <c r="AT81"/>
  <c r="AT80"/>
  <c r="AT79"/>
  <c r="AT78"/>
  <c r="AT77"/>
  <c r="AT76"/>
  <c r="AT75"/>
  <c r="AT74"/>
  <c r="AT73"/>
  <c r="AT72"/>
  <c r="AT71"/>
  <c r="AT70"/>
  <c r="AT69"/>
  <c r="AT68"/>
  <c r="AT67"/>
  <c r="AT66"/>
  <c r="AT65"/>
  <c r="AT64"/>
  <c r="AT63"/>
  <c r="AT62"/>
  <c r="AT61"/>
  <c r="AT60"/>
  <c r="AT59"/>
  <c r="AT58"/>
  <c r="AT57"/>
  <c r="AT56"/>
  <c r="AT55"/>
  <c r="AT54"/>
  <c r="AT53"/>
  <c r="AT52"/>
  <c r="AT51"/>
  <c r="AT50"/>
  <c r="AT49"/>
  <c r="AT48"/>
  <c r="AT47"/>
  <c r="AT46"/>
  <c r="AT45"/>
  <c r="AT44"/>
  <c r="AT43"/>
  <c r="AT42"/>
  <c r="AT41"/>
  <c r="AT40"/>
  <c r="AT39"/>
  <c r="AT38"/>
  <c r="AT37"/>
  <c r="AT36"/>
  <c r="AT35"/>
  <c r="AT34"/>
  <c r="AT33"/>
  <c r="AT32"/>
  <c r="AT31"/>
  <c r="AT30"/>
  <c r="AT29"/>
  <c r="AT28"/>
  <c r="AT27"/>
  <c r="AT26"/>
  <c r="AT25"/>
  <c r="AT24"/>
  <c r="AT23"/>
  <c r="AT22"/>
  <c r="AT21"/>
  <c r="AT20"/>
  <c r="AT19"/>
  <c r="AT18"/>
  <c r="AT17"/>
  <c r="AT16"/>
  <c r="AT15"/>
  <c r="AT14"/>
  <c r="AT13"/>
  <c r="AT12"/>
  <c r="AT11"/>
  <c r="AT10"/>
  <c r="AT9"/>
  <c r="AT8"/>
  <c r="AT7"/>
  <c r="AL8"/>
  <c r="AL9"/>
  <c r="AL10"/>
  <c r="AL11"/>
  <c r="AL12"/>
  <c r="AL13"/>
  <c r="AL14"/>
  <c r="AL15"/>
  <c r="AL16"/>
  <c r="AL17"/>
  <c r="AL18"/>
  <c r="AL19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67"/>
  <c r="AL68"/>
  <c r="AL69"/>
  <c r="AL70"/>
  <c r="AL71"/>
  <c r="AL72"/>
  <c r="AL73"/>
  <c r="AL74"/>
  <c r="AL75"/>
  <c r="AL76"/>
  <c r="AL77"/>
  <c r="AL78"/>
  <c r="AL79"/>
  <c r="AL80"/>
  <c r="AL81"/>
  <c r="AL82"/>
  <c r="AL83"/>
  <c r="Y26"/>
  <c r="T8"/>
  <c r="X8" s="1"/>
  <c r="AB8" s="1"/>
  <c r="AV8" s="1"/>
  <c r="U8"/>
  <c r="T9"/>
  <c r="X9" s="1"/>
  <c r="AB9" s="1"/>
  <c r="AV9" s="1"/>
  <c r="U9"/>
  <c r="S10"/>
  <c r="W10" s="1"/>
  <c r="AA10" s="1"/>
  <c r="AU10" s="1"/>
  <c r="T10"/>
  <c r="X10" s="1"/>
  <c r="AB10" s="1"/>
  <c r="AV10" s="1"/>
  <c r="U10"/>
  <c r="Y10" s="1"/>
  <c r="S11"/>
  <c r="T11"/>
  <c r="U11"/>
  <c r="T12"/>
  <c r="U12"/>
  <c r="T13"/>
  <c r="X13" s="1"/>
  <c r="AB13" s="1"/>
  <c r="AV13" s="1"/>
  <c r="U13"/>
  <c r="Y13" s="1"/>
  <c r="S14"/>
  <c r="T14"/>
  <c r="U14"/>
  <c r="T15"/>
  <c r="X15" s="1"/>
  <c r="AB15" s="1"/>
  <c r="AV15" s="1"/>
  <c r="U15"/>
  <c r="Y15" s="1"/>
  <c r="S16"/>
  <c r="T16"/>
  <c r="U16"/>
  <c r="S17"/>
  <c r="T17"/>
  <c r="U17"/>
  <c r="S18"/>
  <c r="W18" s="1"/>
  <c r="AA18" s="1"/>
  <c r="AU18" s="1"/>
  <c r="T18"/>
  <c r="X18" s="1"/>
  <c r="AB18" s="1"/>
  <c r="AV18" s="1"/>
  <c r="U18"/>
  <c r="Y18" s="1"/>
  <c r="S19"/>
  <c r="T19"/>
  <c r="U19"/>
  <c r="AC11" i="6" s="1"/>
  <c r="T20" i="5"/>
  <c r="X20" s="1"/>
  <c r="AB20" s="1"/>
  <c r="AV20" s="1"/>
  <c r="U20"/>
  <c r="S21"/>
  <c r="W21" s="1"/>
  <c r="AA21" s="1"/>
  <c r="AU21" s="1"/>
  <c r="T21"/>
  <c r="X21" s="1"/>
  <c r="AB21" s="1"/>
  <c r="AV21" s="1"/>
  <c r="U21"/>
  <c r="Y21" s="1"/>
  <c r="T22"/>
  <c r="X22" s="1"/>
  <c r="AB22" s="1"/>
  <c r="AV22" s="1"/>
  <c r="U22"/>
  <c r="Y22" s="1"/>
  <c r="T23"/>
  <c r="X23" s="1"/>
  <c r="AB23" s="1"/>
  <c r="AV23" s="1"/>
  <c r="U23"/>
  <c r="Y23" s="1"/>
  <c r="T24"/>
  <c r="X24" s="1"/>
  <c r="AB24" s="1"/>
  <c r="AV24" s="1"/>
  <c r="U24"/>
  <c r="Y24" s="1"/>
  <c r="T25"/>
  <c r="X25" s="1"/>
  <c r="AB25" s="1"/>
  <c r="AV25" s="1"/>
  <c r="U25"/>
  <c r="Y25" s="1"/>
  <c r="S26"/>
  <c r="T26"/>
  <c r="O26"/>
  <c r="K26"/>
  <c r="G26"/>
  <c r="BL26" s="1"/>
  <c r="Y17" l="1"/>
  <c r="W17"/>
  <c r="X16"/>
  <c r="Y14"/>
  <c r="W14"/>
  <c r="X11"/>
  <c r="W26"/>
  <c r="AE12" i="6" s="1"/>
  <c r="AA12"/>
  <c r="W19" i="5"/>
  <c r="AA11" i="6"/>
  <c r="X26" i="5"/>
  <c r="AB12" i="6"/>
  <c r="X19" i="5"/>
  <c r="AB11" i="6"/>
  <c r="X17" i="5"/>
  <c r="Y16"/>
  <c r="W16"/>
  <c r="X14"/>
  <c r="Y11"/>
  <c r="W11"/>
  <c r="AC26"/>
  <c r="AO26" s="1"/>
  <c r="AG12" i="6"/>
  <c r="CT16" i="4"/>
  <c r="CT24"/>
  <c r="CT32"/>
  <c r="CT40"/>
  <c r="CT17"/>
  <c r="CT33"/>
  <c r="CT41"/>
  <c r="CT31"/>
  <c r="CT39"/>
  <c r="CT14"/>
  <c r="CT22"/>
  <c r="CT30"/>
  <c r="CT38"/>
  <c r="CT20"/>
  <c r="CT28"/>
  <c r="CT36"/>
  <c r="CT13"/>
  <c r="CT23"/>
  <c r="CT37"/>
  <c r="CT25"/>
  <c r="CT35"/>
  <c r="CT21"/>
  <c r="CT18"/>
  <c r="CT26"/>
  <c r="CT19"/>
  <c r="CT10"/>
  <c r="AA8"/>
  <c r="CT11"/>
  <c r="X12" i="5"/>
  <c r="Y12"/>
  <c r="V10"/>
  <c r="V26"/>
  <c r="AD12" i="6" s="1"/>
  <c r="AF24" i="5"/>
  <c r="AN24"/>
  <c r="AZ24" s="1"/>
  <c r="AF22"/>
  <c r="AN22"/>
  <c r="AZ22" s="1"/>
  <c r="AE21"/>
  <c r="AM21"/>
  <c r="AY21" s="1"/>
  <c r="AF20"/>
  <c r="AN20"/>
  <c r="AZ20" s="1"/>
  <c r="AF18"/>
  <c r="AN18"/>
  <c r="AZ18" s="1"/>
  <c r="AE10"/>
  <c r="AM10"/>
  <c r="AY10" s="1"/>
  <c r="AF9"/>
  <c r="AN9"/>
  <c r="AZ9" s="1"/>
  <c r="AG26"/>
  <c r="AO12" i="6" s="1"/>
  <c r="AA26" i="5"/>
  <c r="Z26"/>
  <c r="AH12" i="6" s="1"/>
  <c r="AF25" i="5"/>
  <c r="AN25"/>
  <c r="AZ25" s="1"/>
  <c r="AF23"/>
  <c r="AN23"/>
  <c r="AZ23" s="1"/>
  <c r="AF21"/>
  <c r="AN21"/>
  <c r="AZ21" s="1"/>
  <c r="AE18"/>
  <c r="AM18"/>
  <c r="AY18" s="1"/>
  <c r="AF15"/>
  <c r="AN15"/>
  <c r="AZ15" s="1"/>
  <c r="AF13"/>
  <c r="AN13"/>
  <c r="AZ13" s="1"/>
  <c r="AF10"/>
  <c r="AN10"/>
  <c r="AZ10" s="1"/>
  <c r="AF8"/>
  <c r="AN8"/>
  <c r="AZ8" s="1"/>
  <c r="AL7"/>
  <c r="V11"/>
  <c r="Y20"/>
  <c r="Y9"/>
  <c r="V21"/>
  <c r="V18"/>
  <c r="V17"/>
  <c r="V16"/>
  <c r="V14"/>
  <c r="AC25"/>
  <c r="AW25" s="1"/>
  <c r="AC24"/>
  <c r="AW24" s="1"/>
  <c r="AC23"/>
  <c r="AW23" s="1"/>
  <c r="AC22"/>
  <c r="AW22" s="1"/>
  <c r="AC21"/>
  <c r="AW21" s="1"/>
  <c r="AX21" s="1"/>
  <c r="Z21"/>
  <c r="V19"/>
  <c r="AD11" i="6" s="1"/>
  <c r="Y19" i="5"/>
  <c r="AG11" i="6" s="1"/>
  <c r="AC18" i="5"/>
  <c r="AW18" s="1"/>
  <c r="AX18" s="1"/>
  <c r="Z18"/>
  <c r="AC17"/>
  <c r="Z17"/>
  <c r="AC16"/>
  <c r="Z16"/>
  <c r="AC15"/>
  <c r="AW15" s="1"/>
  <c r="AC14"/>
  <c r="Z14"/>
  <c r="AC13"/>
  <c r="AW13" s="1"/>
  <c r="AC12"/>
  <c r="AC11"/>
  <c r="Z11"/>
  <c r="AC10"/>
  <c r="AW10" s="1"/>
  <c r="AX10" s="1"/>
  <c r="Z10"/>
  <c r="Y8"/>
  <c r="S37"/>
  <c r="T37"/>
  <c r="U37"/>
  <c r="S38"/>
  <c r="T38"/>
  <c r="U38"/>
  <c r="S39"/>
  <c r="T39"/>
  <c r="V39" s="1"/>
  <c r="AD17" i="6" s="1"/>
  <c r="U39" i="5"/>
  <c r="T36"/>
  <c r="U36"/>
  <c r="S36"/>
  <c r="T27"/>
  <c r="X27" s="1"/>
  <c r="U27"/>
  <c r="Y27" s="1"/>
  <c r="AC27" s="1"/>
  <c r="AW27" s="1"/>
  <c r="T28"/>
  <c r="X28" s="1"/>
  <c r="AB28" s="1"/>
  <c r="AV28" s="1"/>
  <c r="U28"/>
  <c r="Y28" s="1"/>
  <c r="AC28" s="1"/>
  <c r="AW28" s="1"/>
  <c r="T29"/>
  <c r="X29" s="1"/>
  <c r="AB29" s="1"/>
  <c r="AV29" s="1"/>
  <c r="U29"/>
  <c r="Y29" s="1"/>
  <c r="AC29" s="1"/>
  <c r="AW29" s="1"/>
  <c r="T30"/>
  <c r="X30" s="1"/>
  <c r="AB30" s="1"/>
  <c r="AV30" s="1"/>
  <c r="U30"/>
  <c r="Y30" s="1"/>
  <c r="AC30" s="1"/>
  <c r="AW30" s="1"/>
  <c r="S31"/>
  <c r="T31"/>
  <c r="U31"/>
  <c r="T32"/>
  <c r="X32" s="1"/>
  <c r="AB32" s="1"/>
  <c r="AV32" s="1"/>
  <c r="U32"/>
  <c r="Y32" s="1"/>
  <c r="AC32" s="1"/>
  <c r="AW32" s="1"/>
  <c r="T33"/>
  <c r="X33" s="1"/>
  <c r="AB33" s="1"/>
  <c r="AV33" s="1"/>
  <c r="U33"/>
  <c r="Y33" s="1"/>
  <c r="AC33" s="1"/>
  <c r="AW33" s="1"/>
  <c r="S34"/>
  <c r="W34" s="1"/>
  <c r="T34"/>
  <c r="X34" s="1"/>
  <c r="AB34" s="1"/>
  <c r="AV34" s="1"/>
  <c r="U34"/>
  <c r="Y34" s="1"/>
  <c r="AC34" s="1"/>
  <c r="AW34" s="1"/>
  <c r="T35"/>
  <c r="X35" s="1"/>
  <c r="AB35" s="1"/>
  <c r="AV35" s="1"/>
  <c r="U35"/>
  <c r="Y35" s="1"/>
  <c r="AC35" s="1"/>
  <c r="AW35" s="1"/>
  <c r="T40"/>
  <c r="X40" s="1"/>
  <c r="AB40" s="1"/>
  <c r="AV40" s="1"/>
  <c r="U40"/>
  <c r="Y40" s="1"/>
  <c r="AC40" s="1"/>
  <c r="AW40" s="1"/>
  <c r="S41"/>
  <c r="T41"/>
  <c r="U41"/>
  <c r="S42"/>
  <c r="T42"/>
  <c r="U42"/>
  <c r="T43"/>
  <c r="X43" s="1"/>
  <c r="AB43" s="1"/>
  <c r="AV43" s="1"/>
  <c r="U43"/>
  <c r="Y43" s="1"/>
  <c r="AC43" s="1"/>
  <c r="AW43" s="1"/>
  <c r="S44"/>
  <c r="T44"/>
  <c r="U44"/>
  <c r="S45"/>
  <c r="V45" s="1"/>
  <c r="AD21" i="6" s="1"/>
  <c r="T45" i="5"/>
  <c r="U45"/>
  <c r="S46"/>
  <c r="T46"/>
  <c r="U46"/>
  <c r="S47"/>
  <c r="T47"/>
  <c r="U47"/>
  <c r="T48"/>
  <c r="X48" s="1"/>
  <c r="AB48" s="1"/>
  <c r="AV48" s="1"/>
  <c r="U48"/>
  <c r="Y48" s="1"/>
  <c r="AC48" s="1"/>
  <c r="AW48" s="1"/>
  <c r="T49"/>
  <c r="X49" s="1"/>
  <c r="AB49" s="1"/>
  <c r="AV49" s="1"/>
  <c r="U49"/>
  <c r="Y49" s="1"/>
  <c r="AC49" s="1"/>
  <c r="AW49" s="1"/>
  <c r="T50"/>
  <c r="X50" s="1"/>
  <c r="AB50" s="1"/>
  <c r="AV50" s="1"/>
  <c r="U50"/>
  <c r="Y50" s="1"/>
  <c r="AC50" s="1"/>
  <c r="AW50" s="1"/>
  <c r="T51"/>
  <c r="X51" s="1"/>
  <c r="AB51" s="1"/>
  <c r="AV51" s="1"/>
  <c r="U51"/>
  <c r="Y51" s="1"/>
  <c r="AC51" s="1"/>
  <c r="AW51" s="1"/>
  <c r="S52"/>
  <c r="T52"/>
  <c r="U52"/>
  <c r="S53"/>
  <c r="V53" s="1"/>
  <c r="T53"/>
  <c r="U53"/>
  <c r="S54"/>
  <c r="T54"/>
  <c r="U54"/>
  <c r="S55"/>
  <c r="T55"/>
  <c r="U55"/>
  <c r="T56"/>
  <c r="X56" s="1"/>
  <c r="AB56" s="1"/>
  <c r="AV56" s="1"/>
  <c r="U56"/>
  <c r="Y56" s="1"/>
  <c r="AC56" s="1"/>
  <c r="AW56" s="1"/>
  <c r="S57"/>
  <c r="T57"/>
  <c r="U57"/>
  <c r="S58"/>
  <c r="V58" s="1"/>
  <c r="T58"/>
  <c r="U58"/>
  <c r="T59"/>
  <c r="X59" s="1"/>
  <c r="AB59" s="1"/>
  <c r="AV59" s="1"/>
  <c r="U59"/>
  <c r="Y59" s="1"/>
  <c r="AC59" s="1"/>
  <c r="AW59" s="1"/>
  <c r="S60"/>
  <c r="T60"/>
  <c r="U60"/>
  <c r="T61"/>
  <c r="X61" s="1"/>
  <c r="AB61" s="1"/>
  <c r="AV61" s="1"/>
  <c r="U61"/>
  <c r="Y61" s="1"/>
  <c r="AC61" s="1"/>
  <c r="AW61" s="1"/>
  <c r="S62"/>
  <c r="T62"/>
  <c r="U62"/>
  <c r="T63"/>
  <c r="X63" s="1"/>
  <c r="AB63" s="1"/>
  <c r="AV63" s="1"/>
  <c r="U63"/>
  <c r="Y63" s="1"/>
  <c r="AC63" s="1"/>
  <c r="AW63" s="1"/>
  <c r="T64"/>
  <c r="X64" s="1"/>
  <c r="AB64" s="1"/>
  <c r="AV64" s="1"/>
  <c r="U64"/>
  <c r="Y64" s="1"/>
  <c r="AC64" s="1"/>
  <c r="AW64" s="1"/>
  <c r="S65"/>
  <c r="T65"/>
  <c r="U65"/>
  <c r="S66"/>
  <c r="T66"/>
  <c r="U66"/>
  <c r="S67"/>
  <c r="T67"/>
  <c r="U67"/>
  <c r="T68"/>
  <c r="X68" s="1"/>
  <c r="AB68" s="1"/>
  <c r="AV68" s="1"/>
  <c r="U68"/>
  <c r="Y68" s="1"/>
  <c r="AC68" s="1"/>
  <c r="AW68" s="1"/>
  <c r="T69"/>
  <c r="X69" s="1"/>
  <c r="AB69" s="1"/>
  <c r="AV69" s="1"/>
  <c r="U69"/>
  <c r="Y69" s="1"/>
  <c r="AC69" s="1"/>
  <c r="AW69" s="1"/>
  <c r="T70"/>
  <c r="X70" s="1"/>
  <c r="AB70" s="1"/>
  <c r="AV70" s="1"/>
  <c r="U70"/>
  <c r="Y70" s="1"/>
  <c r="AC70" s="1"/>
  <c r="AW70" s="1"/>
  <c r="T71"/>
  <c r="X71" s="1"/>
  <c r="AB71" s="1"/>
  <c r="AV71" s="1"/>
  <c r="U71"/>
  <c r="Y71" s="1"/>
  <c r="AC71" s="1"/>
  <c r="AW71" s="1"/>
  <c r="S72"/>
  <c r="T72"/>
  <c r="U72"/>
  <c r="T73"/>
  <c r="X73" s="1"/>
  <c r="AB73" s="1"/>
  <c r="AV73" s="1"/>
  <c r="U73"/>
  <c r="Y73" s="1"/>
  <c r="AC73" s="1"/>
  <c r="AW73" s="1"/>
  <c r="T74"/>
  <c r="X74" s="1"/>
  <c r="AB74" s="1"/>
  <c r="AV74" s="1"/>
  <c r="U74"/>
  <c r="Y74" s="1"/>
  <c r="AC74" s="1"/>
  <c r="AW74" s="1"/>
  <c r="T75"/>
  <c r="X75" s="1"/>
  <c r="AB75" s="1"/>
  <c r="AV75" s="1"/>
  <c r="U75"/>
  <c r="Y75" s="1"/>
  <c r="AC75" s="1"/>
  <c r="AW75" s="1"/>
  <c r="S76"/>
  <c r="T76"/>
  <c r="U76"/>
  <c r="T77"/>
  <c r="X77" s="1"/>
  <c r="AB77" s="1"/>
  <c r="AV77" s="1"/>
  <c r="U77"/>
  <c r="Y77" s="1"/>
  <c r="AC77" s="1"/>
  <c r="AW77" s="1"/>
  <c r="S78"/>
  <c r="W78" s="1"/>
  <c r="T78"/>
  <c r="X78" s="1"/>
  <c r="AB78" s="1"/>
  <c r="AV78" s="1"/>
  <c r="U78"/>
  <c r="Y78" s="1"/>
  <c r="AC78" s="1"/>
  <c r="AW78" s="1"/>
  <c r="T79"/>
  <c r="X79" s="1"/>
  <c r="AB79" s="1"/>
  <c r="AV79" s="1"/>
  <c r="U79"/>
  <c r="Y79" s="1"/>
  <c r="AC79" s="1"/>
  <c r="AW79" s="1"/>
  <c r="S80"/>
  <c r="T80"/>
  <c r="U80"/>
  <c r="T81"/>
  <c r="X81" s="1"/>
  <c r="AB81" s="1"/>
  <c r="AV81" s="1"/>
  <c r="U81"/>
  <c r="Y81" s="1"/>
  <c r="AC81" s="1"/>
  <c r="AW81" s="1"/>
  <c r="S82"/>
  <c r="T82"/>
  <c r="U82"/>
  <c r="T83"/>
  <c r="X83" s="1"/>
  <c r="AB83" s="1"/>
  <c r="AV83" s="1"/>
  <c r="U83"/>
  <c r="Y83" s="1"/>
  <c r="AC83" s="1"/>
  <c r="AW83" s="1"/>
  <c r="T7"/>
  <c r="X7" s="1"/>
  <c r="AB7" s="1"/>
  <c r="AV7" s="1"/>
  <c r="U7"/>
  <c r="Y7" s="1"/>
  <c r="AC7" s="1"/>
  <c r="AW7" s="1"/>
  <c r="S7"/>
  <c r="V62"/>
  <c r="AD31" i="6" s="1"/>
  <c r="V55" i="5"/>
  <c r="V47"/>
  <c r="V42"/>
  <c r="AD19" i="6" s="1"/>
  <c r="V37" i="5"/>
  <c r="AD15" i="6" s="1"/>
  <c r="X8"/>
  <c r="Y8"/>
  <c r="X9"/>
  <c r="Y9"/>
  <c r="X10"/>
  <c r="Y10"/>
  <c r="X11"/>
  <c r="Y11"/>
  <c r="X12"/>
  <c r="Y12"/>
  <c r="X13"/>
  <c r="Y13"/>
  <c r="X14"/>
  <c r="Y14"/>
  <c r="X15"/>
  <c r="Y15"/>
  <c r="X16"/>
  <c r="Y16"/>
  <c r="X17"/>
  <c r="Y17"/>
  <c r="X18"/>
  <c r="Y18"/>
  <c r="X19"/>
  <c r="Y19"/>
  <c r="X20"/>
  <c r="Y20"/>
  <c r="X21"/>
  <c r="Y21"/>
  <c r="X22"/>
  <c r="Y22"/>
  <c r="X23"/>
  <c r="Y23"/>
  <c r="X24"/>
  <c r="Y24"/>
  <c r="X25"/>
  <c r="Y25"/>
  <c r="X26"/>
  <c r="Y26"/>
  <c r="X27"/>
  <c r="Y27"/>
  <c r="X28"/>
  <c r="Y28"/>
  <c r="X29"/>
  <c r="Y29"/>
  <c r="X30"/>
  <c r="Y30"/>
  <c r="X31"/>
  <c r="Y31"/>
  <c r="X32"/>
  <c r="Y32"/>
  <c r="X33"/>
  <c r="Y33"/>
  <c r="X34"/>
  <c r="Y34"/>
  <c r="X35"/>
  <c r="Y35"/>
  <c r="X36"/>
  <c r="Y36"/>
  <c r="X37"/>
  <c r="Y37"/>
  <c r="X38"/>
  <c r="Y38"/>
  <c r="Y7"/>
  <c r="X7"/>
  <c r="T8"/>
  <c r="U8"/>
  <c r="V8"/>
  <c r="T9"/>
  <c r="U9"/>
  <c r="V9"/>
  <c r="T10"/>
  <c r="U10"/>
  <c r="V10"/>
  <c r="T11"/>
  <c r="U11"/>
  <c r="V11"/>
  <c r="T12"/>
  <c r="U12"/>
  <c r="V12"/>
  <c r="T13"/>
  <c r="U13"/>
  <c r="V13"/>
  <c r="T14"/>
  <c r="U14"/>
  <c r="V14"/>
  <c r="T15"/>
  <c r="U15"/>
  <c r="V15"/>
  <c r="T16"/>
  <c r="U16"/>
  <c r="V16"/>
  <c r="T17"/>
  <c r="U17"/>
  <c r="V17"/>
  <c r="T18"/>
  <c r="U18"/>
  <c r="V18"/>
  <c r="T19"/>
  <c r="U19"/>
  <c r="V19"/>
  <c r="T20"/>
  <c r="U20"/>
  <c r="V20"/>
  <c r="T21"/>
  <c r="U21"/>
  <c r="V21"/>
  <c r="T22"/>
  <c r="U22"/>
  <c r="V22"/>
  <c r="T23"/>
  <c r="U23"/>
  <c r="V23"/>
  <c r="T24"/>
  <c r="U24"/>
  <c r="V24"/>
  <c r="T25"/>
  <c r="U25"/>
  <c r="V25"/>
  <c r="T26"/>
  <c r="U26"/>
  <c r="V26"/>
  <c r="T27"/>
  <c r="U27"/>
  <c r="V27"/>
  <c r="T28"/>
  <c r="U28"/>
  <c r="V28"/>
  <c r="T29"/>
  <c r="U29"/>
  <c r="V29"/>
  <c r="T30"/>
  <c r="U30"/>
  <c r="V30"/>
  <c r="T31"/>
  <c r="U31"/>
  <c r="V31"/>
  <c r="T32"/>
  <c r="U32"/>
  <c r="V32"/>
  <c r="T33"/>
  <c r="U33"/>
  <c r="V33"/>
  <c r="T34"/>
  <c r="U34"/>
  <c r="V34"/>
  <c r="T35"/>
  <c r="U35"/>
  <c r="V35"/>
  <c r="T36"/>
  <c r="U36"/>
  <c r="V36"/>
  <c r="T37"/>
  <c r="U37"/>
  <c r="V37"/>
  <c r="T38"/>
  <c r="U38"/>
  <c r="V38"/>
  <c r="U7"/>
  <c r="V7"/>
  <c r="T7"/>
  <c r="P8"/>
  <c r="Q8"/>
  <c r="R8"/>
  <c r="P9"/>
  <c r="Q9"/>
  <c r="R9"/>
  <c r="P10"/>
  <c r="Q10"/>
  <c r="R10"/>
  <c r="P11"/>
  <c r="Q11"/>
  <c r="R11"/>
  <c r="P12"/>
  <c r="Q12"/>
  <c r="R12"/>
  <c r="P13"/>
  <c r="Q13"/>
  <c r="R13"/>
  <c r="P14"/>
  <c r="Q14"/>
  <c r="R14"/>
  <c r="P15"/>
  <c r="Q15"/>
  <c r="R15"/>
  <c r="P16"/>
  <c r="Q16"/>
  <c r="R16"/>
  <c r="P17"/>
  <c r="Q17"/>
  <c r="R17"/>
  <c r="P18"/>
  <c r="Q18"/>
  <c r="R18"/>
  <c r="P19"/>
  <c r="Q19"/>
  <c r="R19"/>
  <c r="P20"/>
  <c r="Q20"/>
  <c r="R20"/>
  <c r="P21"/>
  <c r="Q21"/>
  <c r="R21"/>
  <c r="P22"/>
  <c r="Q22"/>
  <c r="R22"/>
  <c r="P23"/>
  <c r="Q23"/>
  <c r="R23"/>
  <c r="P24"/>
  <c r="Q24"/>
  <c r="R24"/>
  <c r="P25"/>
  <c r="Q25"/>
  <c r="R25"/>
  <c r="P26"/>
  <c r="Q26"/>
  <c r="R26"/>
  <c r="P27"/>
  <c r="Q27"/>
  <c r="R27"/>
  <c r="P28"/>
  <c r="Q28"/>
  <c r="R28"/>
  <c r="P29"/>
  <c r="Q29"/>
  <c r="R29"/>
  <c r="P30"/>
  <c r="Q30"/>
  <c r="R30"/>
  <c r="P31"/>
  <c r="Q31"/>
  <c r="R31"/>
  <c r="P32"/>
  <c r="Q32"/>
  <c r="R32"/>
  <c r="P33"/>
  <c r="Q33"/>
  <c r="R33"/>
  <c r="P34"/>
  <c r="Q34"/>
  <c r="R34"/>
  <c r="P35"/>
  <c r="Q35"/>
  <c r="R35"/>
  <c r="P36"/>
  <c r="Q36"/>
  <c r="R36"/>
  <c r="P37"/>
  <c r="Q37"/>
  <c r="R37"/>
  <c r="P38"/>
  <c r="Q38"/>
  <c r="R38"/>
  <c r="Q7"/>
  <c r="R7"/>
  <c r="P7"/>
  <c r="L8"/>
  <c r="BI8" s="1"/>
  <c r="M8"/>
  <c r="BJ8" s="1"/>
  <c r="N8"/>
  <c r="BK8" s="1"/>
  <c r="L9"/>
  <c r="BI9" s="1"/>
  <c r="M9"/>
  <c r="BJ9" s="1"/>
  <c r="N9"/>
  <c r="BK9" s="1"/>
  <c r="L10"/>
  <c r="BI10" s="1"/>
  <c r="M10"/>
  <c r="BJ10" s="1"/>
  <c r="N10"/>
  <c r="BK10" s="1"/>
  <c r="L11"/>
  <c r="BI11" s="1"/>
  <c r="M11"/>
  <c r="BJ11" s="1"/>
  <c r="N11"/>
  <c r="BK11" s="1"/>
  <c r="L12"/>
  <c r="BI12" s="1"/>
  <c r="M12"/>
  <c r="BJ12" s="1"/>
  <c r="N12"/>
  <c r="BK12" s="1"/>
  <c r="L13"/>
  <c r="BI13" s="1"/>
  <c r="M13"/>
  <c r="BJ13" s="1"/>
  <c r="N13"/>
  <c r="BK13" s="1"/>
  <c r="L14"/>
  <c r="BI14" s="1"/>
  <c r="M14"/>
  <c r="BJ14" s="1"/>
  <c r="N14"/>
  <c r="BK14" s="1"/>
  <c r="L15"/>
  <c r="BI15" s="1"/>
  <c r="M15"/>
  <c r="BJ15" s="1"/>
  <c r="N15"/>
  <c r="BK15" s="1"/>
  <c r="L16"/>
  <c r="BI16" s="1"/>
  <c r="M16"/>
  <c r="BJ16" s="1"/>
  <c r="N16"/>
  <c r="BK16" s="1"/>
  <c r="L17"/>
  <c r="BI17" s="1"/>
  <c r="M17"/>
  <c r="BJ17" s="1"/>
  <c r="N17"/>
  <c r="BK17" s="1"/>
  <c r="L18"/>
  <c r="BI18" s="1"/>
  <c r="M18"/>
  <c r="BJ18" s="1"/>
  <c r="N18"/>
  <c r="BK18" s="1"/>
  <c r="L19"/>
  <c r="BI19" s="1"/>
  <c r="M19"/>
  <c r="BJ19" s="1"/>
  <c r="N19"/>
  <c r="BK19" s="1"/>
  <c r="L20"/>
  <c r="BI20" s="1"/>
  <c r="M20"/>
  <c r="BJ20" s="1"/>
  <c r="N20"/>
  <c r="BK20" s="1"/>
  <c r="L21"/>
  <c r="BI21" s="1"/>
  <c r="M21"/>
  <c r="BJ21" s="1"/>
  <c r="N21"/>
  <c r="BK21" s="1"/>
  <c r="L22"/>
  <c r="BI22" s="1"/>
  <c r="M22"/>
  <c r="BJ22" s="1"/>
  <c r="N22"/>
  <c r="BK22" s="1"/>
  <c r="L23"/>
  <c r="BI23" s="1"/>
  <c r="M23"/>
  <c r="BJ23" s="1"/>
  <c r="N23"/>
  <c r="BK23" s="1"/>
  <c r="L24"/>
  <c r="BI24" s="1"/>
  <c r="M24"/>
  <c r="BJ24" s="1"/>
  <c r="N24"/>
  <c r="BK24" s="1"/>
  <c r="L25"/>
  <c r="BI25" s="1"/>
  <c r="M25"/>
  <c r="BJ25" s="1"/>
  <c r="N25"/>
  <c r="BK25" s="1"/>
  <c r="L26"/>
  <c r="BI26" s="1"/>
  <c r="M26"/>
  <c r="BJ26" s="1"/>
  <c r="N26"/>
  <c r="BK26" s="1"/>
  <c r="L27"/>
  <c r="BI27" s="1"/>
  <c r="M27"/>
  <c r="BJ27" s="1"/>
  <c r="N27"/>
  <c r="BK27" s="1"/>
  <c r="L28"/>
  <c r="BI28" s="1"/>
  <c r="M28"/>
  <c r="BJ28" s="1"/>
  <c r="N28"/>
  <c r="BK28" s="1"/>
  <c r="L29"/>
  <c r="BI29" s="1"/>
  <c r="M29"/>
  <c r="BJ29" s="1"/>
  <c r="N29"/>
  <c r="BK29" s="1"/>
  <c r="L30"/>
  <c r="BI30" s="1"/>
  <c r="M30"/>
  <c r="BJ30" s="1"/>
  <c r="N30"/>
  <c r="BK30" s="1"/>
  <c r="L31"/>
  <c r="BI31" s="1"/>
  <c r="M31"/>
  <c r="BJ31" s="1"/>
  <c r="N31"/>
  <c r="BK31" s="1"/>
  <c r="L32"/>
  <c r="BI32" s="1"/>
  <c r="M32"/>
  <c r="BJ32" s="1"/>
  <c r="N32"/>
  <c r="BK32" s="1"/>
  <c r="L33"/>
  <c r="BI33" s="1"/>
  <c r="M33"/>
  <c r="BJ33" s="1"/>
  <c r="N33"/>
  <c r="BK33" s="1"/>
  <c r="L34"/>
  <c r="BI34" s="1"/>
  <c r="M34"/>
  <c r="BJ34" s="1"/>
  <c r="N34"/>
  <c r="BK34" s="1"/>
  <c r="L35"/>
  <c r="BI35" s="1"/>
  <c r="M35"/>
  <c r="BJ35" s="1"/>
  <c r="N35"/>
  <c r="BK35" s="1"/>
  <c r="L36"/>
  <c r="BI36" s="1"/>
  <c r="M36"/>
  <c r="BJ36" s="1"/>
  <c r="N36"/>
  <c r="BK36" s="1"/>
  <c r="L37"/>
  <c r="BI37" s="1"/>
  <c r="M37"/>
  <c r="BJ37" s="1"/>
  <c r="N37"/>
  <c r="BK37" s="1"/>
  <c r="L38"/>
  <c r="BI38" s="1"/>
  <c r="M38"/>
  <c r="BJ38" s="1"/>
  <c r="N38"/>
  <c r="BK38" s="1"/>
  <c r="M7"/>
  <c r="N7"/>
  <c r="BK7" s="1"/>
  <c r="L7"/>
  <c r="W12"/>
  <c r="S12"/>
  <c r="O12"/>
  <c r="W37"/>
  <c r="S37"/>
  <c r="W36"/>
  <c r="S36"/>
  <c r="W35"/>
  <c r="S35"/>
  <c r="W34"/>
  <c r="S34"/>
  <c r="W33"/>
  <c r="S33"/>
  <c r="W32"/>
  <c r="S32"/>
  <c r="W31"/>
  <c r="S31"/>
  <c r="W30"/>
  <c r="S30"/>
  <c r="W29"/>
  <c r="S29"/>
  <c r="O29"/>
  <c r="W28"/>
  <c r="S28"/>
  <c r="W27"/>
  <c r="S27"/>
  <c r="O27"/>
  <c r="W26"/>
  <c r="S26"/>
  <c r="O26"/>
  <c r="W25"/>
  <c r="S25"/>
  <c r="O25"/>
  <c r="W24"/>
  <c r="S24"/>
  <c r="O24"/>
  <c r="W23"/>
  <c r="S23"/>
  <c r="O23"/>
  <c r="W22"/>
  <c r="S22"/>
  <c r="O22"/>
  <c r="W21"/>
  <c r="S21"/>
  <c r="O21"/>
  <c r="W20"/>
  <c r="S20"/>
  <c r="O20"/>
  <c r="W19"/>
  <c r="S19"/>
  <c r="O19"/>
  <c r="W18"/>
  <c r="S18"/>
  <c r="O18"/>
  <c r="W17"/>
  <c r="S17"/>
  <c r="O17"/>
  <c r="W16"/>
  <c r="S16"/>
  <c r="O16"/>
  <c r="W15"/>
  <c r="S15"/>
  <c r="O15"/>
  <c r="W14"/>
  <c r="S14"/>
  <c r="O14"/>
  <c r="W13"/>
  <c r="S13"/>
  <c r="O13"/>
  <c r="W11"/>
  <c r="S11"/>
  <c r="O11"/>
  <c r="W10"/>
  <c r="S10"/>
  <c r="O10"/>
  <c r="W9"/>
  <c r="S9"/>
  <c r="O9"/>
  <c r="W8"/>
  <c r="S8"/>
  <c r="O8"/>
  <c r="O83" i="5"/>
  <c r="K83"/>
  <c r="G83"/>
  <c r="O82"/>
  <c r="K82"/>
  <c r="G82"/>
  <c r="BL82" s="1"/>
  <c r="O81"/>
  <c r="K81"/>
  <c r="G81"/>
  <c r="O80"/>
  <c r="K80"/>
  <c r="G80"/>
  <c r="BL80" s="1"/>
  <c r="O79"/>
  <c r="K79"/>
  <c r="G79"/>
  <c r="O78"/>
  <c r="K78"/>
  <c r="G78"/>
  <c r="BL78" s="1"/>
  <c r="O77"/>
  <c r="K77"/>
  <c r="G77"/>
  <c r="O76"/>
  <c r="K76"/>
  <c r="G76"/>
  <c r="BL76" s="1"/>
  <c r="O75"/>
  <c r="K75"/>
  <c r="G75"/>
  <c r="O74"/>
  <c r="K74"/>
  <c r="G74"/>
  <c r="O73"/>
  <c r="K73"/>
  <c r="G73"/>
  <c r="O72"/>
  <c r="K72"/>
  <c r="G72"/>
  <c r="BL72" s="1"/>
  <c r="O71"/>
  <c r="K71"/>
  <c r="G71"/>
  <c r="O70"/>
  <c r="K70"/>
  <c r="G70"/>
  <c r="O69"/>
  <c r="K69"/>
  <c r="G69"/>
  <c r="O68"/>
  <c r="K68"/>
  <c r="G68"/>
  <c r="O67"/>
  <c r="K67"/>
  <c r="G67"/>
  <c r="O62"/>
  <c r="K62"/>
  <c r="G62"/>
  <c r="BL62" s="1"/>
  <c r="O66"/>
  <c r="K66"/>
  <c r="G66"/>
  <c r="O65"/>
  <c r="K65"/>
  <c r="G65"/>
  <c r="BL65" s="1"/>
  <c r="O64"/>
  <c r="K64"/>
  <c r="G64"/>
  <c r="O63"/>
  <c r="K63"/>
  <c r="G63"/>
  <c r="O61"/>
  <c r="K61"/>
  <c r="G61"/>
  <c r="O60"/>
  <c r="K60"/>
  <c r="G60"/>
  <c r="BL60" s="1"/>
  <c r="O57"/>
  <c r="K57"/>
  <c r="G57"/>
  <c r="O59"/>
  <c r="K59"/>
  <c r="G59"/>
  <c r="O58"/>
  <c r="K58"/>
  <c r="G58"/>
  <c r="O56"/>
  <c r="K56"/>
  <c r="G56"/>
  <c r="O55"/>
  <c r="K55"/>
  <c r="G55"/>
  <c r="O54"/>
  <c r="K54"/>
  <c r="G54"/>
  <c r="BL54" s="1"/>
  <c r="O53"/>
  <c r="K53"/>
  <c r="G53"/>
  <c r="O52"/>
  <c r="K52"/>
  <c r="G52"/>
  <c r="BL52" s="1"/>
  <c r="O51"/>
  <c r="K51"/>
  <c r="G51"/>
  <c r="O50"/>
  <c r="K50"/>
  <c r="G50"/>
  <c r="O47"/>
  <c r="K47"/>
  <c r="G47"/>
  <c r="O49"/>
  <c r="K49"/>
  <c r="G49"/>
  <c r="O48"/>
  <c r="K48"/>
  <c r="G48"/>
  <c r="O46"/>
  <c r="K46"/>
  <c r="G46"/>
  <c r="BL46" s="1"/>
  <c r="O45"/>
  <c r="K45"/>
  <c r="G45"/>
  <c r="O44"/>
  <c r="K44"/>
  <c r="G44"/>
  <c r="BL44" s="1"/>
  <c r="O43"/>
  <c r="K43"/>
  <c r="G43"/>
  <c r="O42"/>
  <c r="K42"/>
  <c r="G42"/>
  <c r="BL42" s="1"/>
  <c r="O41"/>
  <c r="K41"/>
  <c r="G41"/>
  <c r="O40"/>
  <c r="K40"/>
  <c r="G40"/>
  <c r="O39"/>
  <c r="K39"/>
  <c r="G39"/>
  <c r="O38"/>
  <c r="K38"/>
  <c r="G38"/>
  <c r="BL38" s="1"/>
  <c r="O37"/>
  <c r="K37"/>
  <c r="G37"/>
  <c r="O36"/>
  <c r="K36"/>
  <c r="G36"/>
  <c r="BL36" s="1"/>
  <c r="O35"/>
  <c r="K35"/>
  <c r="G35"/>
  <c r="O34"/>
  <c r="K34"/>
  <c r="G34"/>
  <c r="BL34" s="1"/>
  <c r="O33"/>
  <c r="K33"/>
  <c r="G33"/>
  <c r="O32"/>
  <c r="K32"/>
  <c r="G32"/>
  <c r="O31"/>
  <c r="K31"/>
  <c r="G31"/>
  <c r="O30"/>
  <c r="K30"/>
  <c r="G30"/>
  <c r="O29"/>
  <c r="K29"/>
  <c r="G29"/>
  <c r="O28"/>
  <c r="K28"/>
  <c r="G28"/>
  <c r="O27"/>
  <c r="K27"/>
  <c r="G27"/>
  <c r="O25"/>
  <c r="K25"/>
  <c r="G25"/>
  <c r="O24"/>
  <c r="K24"/>
  <c r="G24"/>
  <c r="O23"/>
  <c r="K23"/>
  <c r="G23"/>
  <c r="O22"/>
  <c r="K22"/>
  <c r="G22"/>
  <c r="O21"/>
  <c r="K21"/>
  <c r="G21"/>
  <c r="BL21" s="1"/>
  <c r="O20"/>
  <c r="K20"/>
  <c r="G20"/>
  <c r="O19"/>
  <c r="K19"/>
  <c r="G19"/>
  <c r="BL19" s="1"/>
  <c r="O18"/>
  <c r="K18"/>
  <c r="G18"/>
  <c r="O17"/>
  <c r="K17"/>
  <c r="G17"/>
  <c r="BL17" s="1"/>
  <c r="O16"/>
  <c r="K16"/>
  <c r="G16"/>
  <c r="O15"/>
  <c r="K15"/>
  <c r="G15"/>
  <c r="O14"/>
  <c r="K14"/>
  <c r="G14"/>
  <c r="O13"/>
  <c r="K13"/>
  <c r="G13"/>
  <c r="O12"/>
  <c r="K12"/>
  <c r="G12"/>
  <c r="O11"/>
  <c r="K11"/>
  <c r="G11"/>
  <c r="BL11" s="1"/>
  <c r="O10"/>
  <c r="K10"/>
  <c r="G10"/>
  <c r="O9"/>
  <c r="K9"/>
  <c r="G9"/>
  <c r="O8"/>
  <c r="K8"/>
  <c r="G8"/>
  <c r="O7"/>
  <c r="K7"/>
  <c r="G7"/>
  <c r="BL7" s="1"/>
  <c r="V34" l="1"/>
  <c r="V7"/>
  <c r="AC7" i="6"/>
  <c r="S9" i="5"/>
  <c r="W9" s="1"/>
  <c r="AA9" s="1"/>
  <c r="BL9"/>
  <c r="S13"/>
  <c r="W13" s="1"/>
  <c r="AA13" s="1"/>
  <c r="BL13"/>
  <c r="S15"/>
  <c r="W15" s="1"/>
  <c r="AA15" s="1"/>
  <c r="BL15"/>
  <c r="S23"/>
  <c r="W23" s="1"/>
  <c r="AA23" s="1"/>
  <c r="BL23"/>
  <c r="S25"/>
  <c r="W25" s="1"/>
  <c r="AA25" s="1"/>
  <c r="BL25"/>
  <c r="S28"/>
  <c r="V28" s="1"/>
  <c r="BL28"/>
  <c r="S30"/>
  <c r="V30" s="1"/>
  <c r="BL30"/>
  <c r="S32"/>
  <c r="V32" s="1"/>
  <c r="BL32"/>
  <c r="S40"/>
  <c r="V40" s="1"/>
  <c r="BL40"/>
  <c r="S49"/>
  <c r="W49" s="1"/>
  <c r="BL49"/>
  <c r="S50"/>
  <c r="V50" s="1"/>
  <c r="BL50"/>
  <c r="S56"/>
  <c r="V56" s="1"/>
  <c r="BL56"/>
  <c r="S59"/>
  <c r="W59" s="1"/>
  <c r="BL59"/>
  <c r="S63"/>
  <c r="BL63"/>
  <c r="S68"/>
  <c r="W68" s="1"/>
  <c r="BL68"/>
  <c r="S70"/>
  <c r="W70" s="1"/>
  <c r="BL70"/>
  <c r="S74"/>
  <c r="V74" s="1"/>
  <c r="BL74"/>
  <c r="X82"/>
  <c r="AB38" i="6"/>
  <c r="Y80" i="5"/>
  <c r="AC37" i="6"/>
  <c r="W80" i="5"/>
  <c r="AE37" i="6" s="1"/>
  <c r="AA37"/>
  <c r="Y76" i="5"/>
  <c r="AC36" i="6"/>
  <c r="W76" i="5"/>
  <c r="AE36" i="6" s="1"/>
  <c r="AA36"/>
  <c r="X72" i="5"/>
  <c r="AB35" i="6"/>
  <c r="Y67" i="5"/>
  <c r="AC34" i="6"/>
  <c r="W67" i="5"/>
  <c r="X66"/>
  <c r="AB33" i="6"/>
  <c r="Y65" i="5"/>
  <c r="AC32" i="6"/>
  <c r="W65" i="5"/>
  <c r="X62"/>
  <c r="AB31" i="6"/>
  <c r="Y60" i="5"/>
  <c r="AC30" i="6"/>
  <c r="W60" i="5"/>
  <c r="AE30" i="6" s="1"/>
  <c r="AA30"/>
  <c r="X58" i="5"/>
  <c r="AB29" i="6"/>
  <c r="Y57" i="5"/>
  <c r="AC28" i="6"/>
  <c r="W57" i="5"/>
  <c r="X55"/>
  <c r="AB27" i="6"/>
  <c r="Y54" i="5"/>
  <c r="AC26" i="6"/>
  <c r="W54" i="5"/>
  <c r="X53"/>
  <c r="AB25" i="6"/>
  <c r="Y52" i="5"/>
  <c r="AC24" i="6"/>
  <c r="W52" i="5"/>
  <c r="X47"/>
  <c r="AB23" i="6"/>
  <c r="Y46" i="5"/>
  <c r="AC22" i="6"/>
  <c r="W46" i="5"/>
  <c r="X45"/>
  <c r="AB21" i="6"/>
  <c r="Y44" i="5"/>
  <c r="AC20" i="6"/>
  <c r="W44" i="5"/>
  <c r="AE20" i="6" s="1"/>
  <c r="AA20"/>
  <c r="X42" i="5"/>
  <c r="AB19" i="6"/>
  <c r="Y41" i="5"/>
  <c r="AC18" i="6"/>
  <c r="W41" i="5"/>
  <c r="AE18" i="6" s="1"/>
  <c r="AA18"/>
  <c r="Y31" i="5"/>
  <c r="AC13" i="6"/>
  <c r="W31" i="5"/>
  <c r="Y36"/>
  <c r="AC14" i="6"/>
  <c r="Y39" i="5"/>
  <c r="AC17" i="6"/>
  <c r="W39" i="5"/>
  <c r="AE17" i="6" s="1"/>
  <c r="AA17"/>
  <c r="X38" i="5"/>
  <c r="AB16" i="6"/>
  <c r="Y37" i="5"/>
  <c r="AC15" i="6"/>
  <c r="W37" i="5"/>
  <c r="AE15" i="6" s="1"/>
  <c r="AA15"/>
  <c r="AW16" i="5"/>
  <c r="AK9" i="6"/>
  <c r="AW17" i="5"/>
  <c r="AK10" i="6"/>
  <c r="AS12"/>
  <c r="AB8"/>
  <c r="AC9"/>
  <c r="AB10"/>
  <c r="AB7"/>
  <c r="AC8"/>
  <c r="AB9"/>
  <c r="AA10"/>
  <c r="AC10"/>
  <c r="S8" i="5"/>
  <c r="BL8"/>
  <c r="BL10"/>
  <c r="BL12"/>
  <c r="BL14"/>
  <c r="BL16"/>
  <c r="BL18"/>
  <c r="S20"/>
  <c r="W20" s="1"/>
  <c r="AA20" s="1"/>
  <c r="BL20"/>
  <c r="S22"/>
  <c r="W22" s="1"/>
  <c r="AA22" s="1"/>
  <c r="BL22"/>
  <c r="S24"/>
  <c r="W24" s="1"/>
  <c r="AA24" s="1"/>
  <c r="BL24"/>
  <c r="S27"/>
  <c r="BL27"/>
  <c r="S29"/>
  <c r="W29" s="1"/>
  <c r="BL29"/>
  <c r="BL31"/>
  <c r="S33"/>
  <c r="W33" s="1"/>
  <c r="BL33"/>
  <c r="S35"/>
  <c r="W35" s="1"/>
  <c r="BL35"/>
  <c r="BL37"/>
  <c r="BL39"/>
  <c r="BL41"/>
  <c r="S43"/>
  <c r="W43" s="1"/>
  <c r="BL43"/>
  <c r="BL45"/>
  <c r="S48"/>
  <c r="V48" s="1"/>
  <c r="BL48"/>
  <c r="BL47"/>
  <c r="S51"/>
  <c r="W51" s="1"/>
  <c r="BL51"/>
  <c r="BL53"/>
  <c r="BL55"/>
  <c r="BL58"/>
  <c r="BL57"/>
  <c r="S61"/>
  <c r="W61" s="1"/>
  <c r="BL61"/>
  <c r="S64"/>
  <c r="V64" s="1"/>
  <c r="BL64"/>
  <c r="BL66"/>
  <c r="BL67"/>
  <c r="S69"/>
  <c r="W69" s="1"/>
  <c r="BL69"/>
  <c r="S71"/>
  <c r="W71" s="1"/>
  <c r="BL71"/>
  <c r="S73"/>
  <c r="W73" s="1"/>
  <c r="BL73"/>
  <c r="S75"/>
  <c r="W75" s="1"/>
  <c r="BL75"/>
  <c r="S77"/>
  <c r="W77" s="1"/>
  <c r="BL77"/>
  <c r="S79"/>
  <c r="W79" s="1"/>
  <c r="BL79"/>
  <c r="S81"/>
  <c r="W81" s="1"/>
  <c r="BL81"/>
  <c r="S83"/>
  <c r="W83" s="1"/>
  <c r="BL83"/>
  <c r="O28" i="6"/>
  <c r="O31"/>
  <c r="BL31" s="1"/>
  <c r="P5"/>
  <c r="Q5"/>
  <c r="T5"/>
  <c r="U5"/>
  <c r="X5"/>
  <c r="V31" i="5"/>
  <c r="V36"/>
  <c r="AD14" i="6" s="1"/>
  <c r="V38" i="5"/>
  <c r="AD16" i="6" s="1"/>
  <c r="V41" i="5"/>
  <c r="AD18" i="6" s="1"/>
  <c r="V44" i="5"/>
  <c r="AD20" i="6" s="1"/>
  <c r="V46" i="5"/>
  <c r="V52"/>
  <c r="V54"/>
  <c r="V57"/>
  <c r="V60"/>
  <c r="V66"/>
  <c r="Y82"/>
  <c r="AC38" i="6"/>
  <c r="W82" i="5"/>
  <c r="AE38" i="6" s="1"/>
  <c r="AA38"/>
  <c r="X80" i="5"/>
  <c r="AB37" i="6"/>
  <c r="X76" i="5"/>
  <c r="AB36" i="6"/>
  <c r="Y72" i="5"/>
  <c r="AC35" i="6"/>
  <c r="W72" i="5"/>
  <c r="AE35" i="6" s="1"/>
  <c r="AA35"/>
  <c r="X67" i="5"/>
  <c r="AB34" i="6"/>
  <c r="Y66" i="5"/>
  <c r="AC33" i="6"/>
  <c r="W66" i="5"/>
  <c r="AA33" i="6"/>
  <c r="X65" i="5"/>
  <c r="AB32" i="6"/>
  <c r="Y62" i="5"/>
  <c r="AC31" i="6"/>
  <c r="W62" i="5"/>
  <c r="AE31" i="6" s="1"/>
  <c r="AA31"/>
  <c r="X60" i="5"/>
  <c r="AB30" i="6"/>
  <c r="Y58" i="5"/>
  <c r="AC29" i="6"/>
  <c r="W58" i="5"/>
  <c r="AE29" i="6" s="1"/>
  <c r="AA29"/>
  <c r="X57" i="5"/>
  <c r="AB28" i="6"/>
  <c r="Y55" i="5"/>
  <c r="AC27" i="6"/>
  <c r="W55" i="5"/>
  <c r="AA27" i="6"/>
  <c r="X54" i="5"/>
  <c r="AB26" i="6"/>
  <c r="Y53" i="5"/>
  <c r="AC25" i="6"/>
  <c r="W53" i="5"/>
  <c r="X52"/>
  <c r="AB24" i="6"/>
  <c r="Y47" i="5"/>
  <c r="AC23" i="6"/>
  <c r="W47" i="5"/>
  <c r="AE23" i="6" s="1"/>
  <c r="AA23"/>
  <c r="X46" i="5"/>
  <c r="AB22" i="6"/>
  <c r="Y45" i="5"/>
  <c r="AC21" i="6"/>
  <c r="W45" i="5"/>
  <c r="AE21" i="6" s="1"/>
  <c r="AA21"/>
  <c r="X44" i="5"/>
  <c r="AB20" i="6"/>
  <c r="Y42" i="5"/>
  <c r="AC19" i="6"/>
  <c r="W42" i="5"/>
  <c r="AE19" i="6" s="1"/>
  <c r="AA19"/>
  <c r="X41" i="5"/>
  <c r="AB18" i="6"/>
  <c r="X31" i="5"/>
  <c r="AB13" i="6"/>
  <c r="W36" i="5"/>
  <c r="AE14" i="6" s="1"/>
  <c r="AA14"/>
  <c r="X36" i="5"/>
  <c r="AB14" i="6"/>
  <c r="X39" i="5"/>
  <c r="AB17" i="6"/>
  <c r="Y38" i="5"/>
  <c r="AC16" i="6"/>
  <c r="W38" i="5"/>
  <c r="AE16" i="6" s="1"/>
  <c r="AA16"/>
  <c r="X37" i="5"/>
  <c r="AB15" i="6"/>
  <c r="AW11" i="5"/>
  <c r="AK7" i="6"/>
  <c r="AW14" i="5"/>
  <c r="AU26"/>
  <c r="AI12" i="6"/>
  <c r="AW26" i="5"/>
  <c r="AW12" i="6" s="1"/>
  <c r="AK12"/>
  <c r="AA11" i="5"/>
  <c r="AG7" i="6"/>
  <c r="AB14" i="5"/>
  <c r="AF8" i="6"/>
  <c r="AA16" i="5"/>
  <c r="AG9" i="6"/>
  <c r="AB17" i="5"/>
  <c r="AF10" i="6"/>
  <c r="AB19" i="5"/>
  <c r="AF11" i="6"/>
  <c r="AB26" i="5"/>
  <c r="AF12" i="6"/>
  <c r="AA19" i="5"/>
  <c r="AE11" i="6"/>
  <c r="AB11" i="5"/>
  <c r="AF7" i="6"/>
  <c r="AA14" i="5"/>
  <c r="AG8" i="6"/>
  <c r="AB16" i="5"/>
  <c r="AF9" i="6"/>
  <c r="AA17" i="5"/>
  <c r="AG10" i="6"/>
  <c r="BL9"/>
  <c r="BL11"/>
  <c r="BL14"/>
  <c r="BL16"/>
  <c r="BL18"/>
  <c r="BL20"/>
  <c r="BL22"/>
  <c r="BL24"/>
  <c r="BL26"/>
  <c r="BL28"/>
  <c r="CT8" i="4"/>
  <c r="CT9" s="1"/>
  <c r="L5" i="6"/>
  <c r="BI5" s="1"/>
  <c r="BI7"/>
  <c r="BL8"/>
  <c r="BL10"/>
  <c r="BL13"/>
  <c r="BL15"/>
  <c r="BL17"/>
  <c r="BL19"/>
  <c r="BL21"/>
  <c r="BL23"/>
  <c r="BL25"/>
  <c r="BL27"/>
  <c r="BL29"/>
  <c r="BL12"/>
  <c r="M5"/>
  <c r="BJ7"/>
  <c r="N5"/>
  <c r="R5"/>
  <c r="V5"/>
  <c r="Y5"/>
  <c r="O30"/>
  <c r="BL30" s="1"/>
  <c r="V72" i="5"/>
  <c r="K5"/>
  <c r="AB12"/>
  <c r="X5"/>
  <c r="V78"/>
  <c r="AD10" i="6" s="1"/>
  <c r="Y5" i="5"/>
  <c r="S12"/>
  <c r="AA25" i="6" s="1"/>
  <c r="G5" i="5"/>
  <c r="BL5" s="1"/>
  <c r="AW12"/>
  <c r="O5"/>
  <c r="U5"/>
  <c r="T5"/>
  <c r="AE20"/>
  <c r="AU20"/>
  <c r="AE22"/>
  <c r="AU22"/>
  <c r="AX22" s="1"/>
  <c r="AE9"/>
  <c r="AU9"/>
  <c r="AE13"/>
  <c r="AU13"/>
  <c r="AX13" s="1"/>
  <c r="AE15"/>
  <c r="AU15"/>
  <c r="AX15" s="1"/>
  <c r="AE23"/>
  <c r="AU23"/>
  <c r="AX23" s="1"/>
  <c r="AE25"/>
  <c r="AU25"/>
  <c r="AX25" s="1"/>
  <c r="V76"/>
  <c r="V82"/>
  <c r="AD38" i="6" s="1"/>
  <c r="AE24" i="5"/>
  <c r="AU24"/>
  <c r="AX24" s="1"/>
  <c r="O33" i="6"/>
  <c r="BL33" s="1"/>
  <c r="V27" i="5"/>
  <c r="AD9" i="6" s="1"/>
  <c r="V29" i="5"/>
  <c r="V35"/>
  <c r="V43"/>
  <c r="V49"/>
  <c r="V51"/>
  <c r="V59"/>
  <c r="V61"/>
  <c r="V63"/>
  <c r="AD7" i="6" s="1"/>
  <c r="V73" i="5"/>
  <c r="V80"/>
  <c r="AD37" i="6" s="1"/>
  <c r="W74" i="5"/>
  <c r="W64"/>
  <c r="AA64" s="1"/>
  <c r="AU64" s="1"/>
  <c r="AX64" s="1"/>
  <c r="W56"/>
  <c r="W50"/>
  <c r="AA50" s="1"/>
  <c r="AU50" s="1"/>
  <c r="AX50" s="1"/>
  <c r="W40"/>
  <c r="AA40" s="1"/>
  <c r="AU40" s="1"/>
  <c r="AX40" s="1"/>
  <c r="W32"/>
  <c r="AA32" s="1"/>
  <c r="AU32" s="1"/>
  <c r="AX32" s="1"/>
  <c r="W30"/>
  <c r="AA30" s="1"/>
  <c r="AU30" s="1"/>
  <c r="AX30" s="1"/>
  <c r="W28"/>
  <c r="Z28" s="1"/>
  <c r="Z13"/>
  <c r="Z15"/>
  <c r="Z22"/>
  <c r="Z23"/>
  <c r="Z24"/>
  <c r="Z25"/>
  <c r="V12"/>
  <c r="AD25" i="6" s="1"/>
  <c r="V22" i="5"/>
  <c r="V24"/>
  <c r="AM9"/>
  <c r="AY9" s="1"/>
  <c r="AM20"/>
  <c r="AM22"/>
  <c r="AY22" s="1"/>
  <c r="AM24"/>
  <c r="AM13"/>
  <c r="AM15"/>
  <c r="AM23"/>
  <c r="AM25"/>
  <c r="V8"/>
  <c r="AD8" i="6" s="1"/>
  <c r="V13" i="5"/>
  <c r="V15"/>
  <c r="V23"/>
  <c r="V25"/>
  <c r="V9"/>
  <c r="V20"/>
  <c r="AG7"/>
  <c r="AO7"/>
  <c r="BA7" s="1"/>
  <c r="AO83"/>
  <c r="BA83" s="1"/>
  <c r="AG83"/>
  <c r="AA83"/>
  <c r="AU83" s="1"/>
  <c r="AX83" s="1"/>
  <c r="Z83"/>
  <c r="AO81"/>
  <c r="BA81" s="1"/>
  <c r="AG81"/>
  <c r="AA81"/>
  <c r="AU81" s="1"/>
  <c r="AX81" s="1"/>
  <c r="Z81"/>
  <c r="AO79"/>
  <c r="BA79" s="1"/>
  <c r="AG79"/>
  <c r="AA79"/>
  <c r="AU79" s="1"/>
  <c r="AX79" s="1"/>
  <c r="Z79"/>
  <c r="AF78"/>
  <c r="AN78"/>
  <c r="AZ78" s="1"/>
  <c r="AO77"/>
  <c r="BA77" s="1"/>
  <c r="AG77"/>
  <c r="AA77"/>
  <c r="AU77" s="1"/>
  <c r="AX77" s="1"/>
  <c r="Z77"/>
  <c r="AO75"/>
  <c r="BA75" s="1"/>
  <c r="AG75"/>
  <c r="AA75"/>
  <c r="AU75" s="1"/>
  <c r="AX75" s="1"/>
  <c r="Z75"/>
  <c r="AF74"/>
  <c r="AN74"/>
  <c r="AZ74" s="1"/>
  <c r="AO73"/>
  <c r="BA73" s="1"/>
  <c r="AG73"/>
  <c r="AA73"/>
  <c r="AU73" s="1"/>
  <c r="AX73" s="1"/>
  <c r="Z73"/>
  <c r="AG71"/>
  <c r="AO71"/>
  <c r="BA71" s="1"/>
  <c r="AF70"/>
  <c r="AN70"/>
  <c r="AZ70" s="1"/>
  <c r="AG69"/>
  <c r="AO69"/>
  <c r="BA69" s="1"/>
  <c r="AF68"/>
  <c r="AN68"/>
  <c r="AZ68" s="1"/>
  <c r="AF64"/>
  <c r="AN64"/>
  <c r="AZ64" s="1"/>
  <c r="AG63"/>
  <c r="AO63"/>
  <c r="BA63" s="1"/>
  <c r="AG61"/>
  <c r="AO61"/>
  <c r="BA61" s="1"/>
  <c r="AG59"/>
  <c r="AO59"/>
  <c r="BA59" s="1"/>
  <c r="AF56"/>
  <c r="AN56"/>
  <c r="AZ56" s="1"/>
  <c r="AG51"/>
  <c r="AO51"/>
  <c r="BA51" s="1"/>
  <c r="AF50"/>
  <c r="AN50"/>
  <c r="AZ50" s="1"/>
  <c r="AG49"/>
  <c r="AO49"/>
  <c r="BA49" s="1"/>
  <c r="AF48"/>
  <c r="AN48"/>
  <c r="AZ48" s="1"/>
  <c r="AG43"/>
  <c r="AO43"/>
  <c r="BA43" s="1"/>
  <c r="AF40"/>
  <c r="AN40"/>
  <c r="AZ40" s="1"/>
  <c r="AG35"/>
  <c r="AO35"/>
  <c r="BA35" s="1"/>
  <c r="AF34"/>
  <c r="AN34"/>
  <c r="AZ34" s="1"/>
  <c r="AG33"/>
  <c r="AO33"/>
  <c r="BA33" s="1"/>
  <c r="AF32"/>
  <c r="AN32"/>
  <c r="AZ32" s="1"/>
  <c r="AF30"/>
  <c r="AN30"/>
  <c r="AZ30" s="1"/>
  <c r="AG29"/>
  <c r="AO29"/>
  <c r="BA29" s="1"/>
  <c r="AF28"/>
  <c r="AN28"/>
  <c r="AZ28" s="1"/>
  <c r="AG27"/>
  <c r="AO27"/>
  <c r="BA27" s="1"/>
  <c r="AA39"/>
  <c r="Z39"/>
  <c r="AH17" i="6" s="1"/>
  <c r="AA37" i="5"/>
  <c r="Z37"/>
  <c r="AH15" i="6" s="1"/>
  <c r="AG10" i="5"/>
  <c r="AO10"/>
  <c r="BA10" s="1"/>
  <c r="BB10" s="1"/>
  <c r="BF10" s="1"/>
  <c r="AG11"/>
  <c r="AO7" i="6" s="1"/>
  <c r="AO11" i="5"/>
  <c r="AG12"/>
  <c r="AO12"/>
  <c r="AG13"/>
  <c r="AO13"/>
  <c r="BA13" s="1"/>
  <c r="AG14"/>
  <c r="AO14"/>
  <c r="AG15"/>
  <c r="AO15"/>
  <c r="BA15" s="1"/>
  <c r="AG16"/>
  <c r="AO16"/>
  <c r="AG17"/>
  <c r="AO17"/>
  <c r="AG18"/>
  <c r="AO18"/>
  <c r="BA18" s="1"/>
  <c r="BB18" s="1"/>
  <c r="BF18" s="1"/>
  <c r="AG21"/>
  <c r="AO21"/>
  <c r="BA21" s="1"/>
  <c r="BB21" s="1"/>
  <c r="BF21" s="1"/>
  <c r="AG22"/>
  <c r="AO22"/>
  <c r="BA22" s="1"/>
  <c r="AG23"/>
  <c r="AO23"/>
  <c r="BA23" s="1"/>
  <c r="AG24"/>
  <c r="AO24"/>
  <c r="BA24" s="1"/>
  <c r="AG25"/>
  <c r="AO25"/>
  <c r="BA25" s="1"/>
  <c r="AE26"/>
  <c r="AM12" i="6" s="1"/>
  <c r="AM26" i="5"/>
  <c r="AQ12" i="6" s="1"/>
  <c r="AD26" i="5"/>
  <c r="AL12" i="6" s="1"/>
  <c r="V75" i="5"/>
  <c r="AD23" i="6" s="1"/>
  <c r="V77" i="5"/>
  <c r="V79"/>
  <c r="V81"/>
  <c r="V83"/>
  <c r="W7"/>
  <c r="AE10" i="6" s="1"/>
  <c r="AN7" i="5"/>
  <c r="AZ7" s="1"/>
  <c r="AF7"/>
  <c r="AN83"/>
  <c r="AZ83" s="1"/>
  <c r="AF83"/>
  <c r="AA82"/>
  <c r="Z82"/>
  <c r="AH38" i="6" s="1"/>
  <c r="AN81" i="5"/>
  <c r="AZ81" s="1"/>
  <c r="AF81"/>
  <c r="AA80"/>
  <c r="Z80"/>
  <c r="AN79"/>
  <c r="AZ79" s="1"/>
  <c r="AF79"/>
  <c r="AO78"/>
  <c r="BA78" s="1"/>
  <c r="AG78"/>
  <c r="AA78"/>
  <c r="AU78" s="1"/>
  <c r="AX78" s="1"/>
  <c r="Z78"/>
  <c r="AN77"/>
  <c r="AZ77" s="1"/>
  <c r="AF77"/>
  <c r="AA76"/>
  <c r="Z76"/>
  <c r="AN75"/>
  <c r="AZ75" s="1"/>
  <c r="AF75"/>
  <c r="AO74"/>
  <c r="BA74" s="1"/>
  <c r="AG74"/>
  <c r="AA74"/>
  <c r="AU74" s="1"/>
  <c r="AX74" s="1"/>
  <c r="Z74"/>
  <c r="AN73"/>
  <c r="AZ73" s="1"/>
  <c r="AF73"/>
  <c r="AA72"/>
  <c r="Z72"/>
  <c r="AF71"/>
  <c r="AN71"/>
  <c r="AZ71" s="1"/>
  <c r="AG70"/>
  <c r="AO70"/>
  <c r="BA70" s="1"/>
  <c r="AF69"/>
  <c r="AN69"/>
  <c r="AZ69" s="1"/>
  <c r="AG68"/>
  <c r="AO68"/>
  <c r="BA68" s="1"/>
  <c r="AG64"/>
  <c r="AO64"/>
  <c r="BA64" s="1"/>
  <c r="AF63"/>
  <c r="AN63"/>
  <c r="AZ63" s="1"/>
  <c r="AF61"/>
  <c r="AN61"/>
  <c r="AZ61" s="1"/>
  <c r="AF59"/>
  <c r="AN59"/>
  <c r="AZ59" s="1"/>
  <c r="AG56"/>
  <c r="AO56"/>
  <c r="BA56" s="1"/>
  <c r="AF51"/>
  <c r="AN51"/>
  <c r="AZ51" s="1"/>
  <c r="AG50"/>
  <c r="AO50"/>
  <c r="BA50" s="1"/>
  <c r="AF49"/>
  <c r="AN49"/>
  <c r="AZ49" s="1"/>
  <c r="AG48"/>
  <c r="AO48"/>
  <c r="BA48" s="1"/>
  <c r="AF43"/>
  <c r="AN43"/>
  <c r="AZ43" s="1"/>
  <c r="AG40"/>
  <c r="AO40"/>
  <c r="BA40" s="1"/>
  <c r="AF35"/>
  <c r="AN35"/>
  <c r="AZ35" s="1"/>
  <c r="AG34"/>
  <c r="AO34"/>
  <c r="BA34" s="1"/>
  <c r="AF33"/>
  <c r="AN33"/>
  <c r="AZ33" s="1"/>
  <c r="AG32"/>
  <c r="AO32"/>
  <c r="BA32" s="1"/>
  <c r="AG30"/>
  <c r="AO30"/>
  <c r="BA30" s="1"/>
  <c r="AF29"/>
  <c r="AN29"/>
  <c r="AZ29" s="1"/>
  <c r="AG28"/>
  <c r="AO28"/>
  <c r="BA28" s="1"/>
  <c r="AA36"/>
  <c r="Z36"/>
  <c r="AH14" i="6" s="1"/>
  <c r="AA38" i="5"/>
  <c r="Z38"/>
  <c r="AH16" i="6" s="1"/>
  <c r="AP18" i="5"/>
  <c r="AP15"/>
  <c r="AP25"/>
  <c r="O34" i="6"/>
  <c r="BL34" s="1"/>
  <c r="O32"/>
  <c r="BL32" s="1"/>
  <c r="V65" i="5"/>
  <c r="AD32" i="6" s="1"/>
  <c r="V70" i="5"/>
  <c r="V68"/>
  <c r="AA71"/>
  <c r="AU71" s="1"/>
  <c r="AX71" s="1"/>
  <c r="Z71"/>
  <c r="AA69"/>
  <c r="AU69" s="1"/>
  <c r="AX69" s="1"/>
  <c r="Z69"/>
  <c r="AA67"/>
  <c r="Z67"/>
  <c r="AA65"/>
  <c r="Z65"/>
  <c r="AA61"/>
  <c r="AU61" s="1"/>
  <c r="AX61" s="1"/>
  <c r="Z61"/>
  <c r="AA59"/>
  <c r="AU59" s="1"/>
  <c r="AX59" s="1"/>
  <c r="Z59"/>
  <c r="AA57"/>
  <c r="Z57"/>
  <c r="AA55"/>
  <c r="Z55"/>
  <c r="AA53"/>
  <c r="Z53"/>
  <c r="AA51"/>
  <c r="AU51" s="1"/>
  <c r="AX51" s="1"/>
  <c r="Z51"/>
  <c r="AA49"/>
  <c r="AU49" s="1"/>
  <c r="AX49" s="1"/>
  <c r="Z49"/>
  <c r="AA47"/>
  <c r="Z47"/>
  <c r="AA45"/>
  <c r="Z45"/>
  <c r="AH21" i="6" s="1"/>
  <c r="AA43" i="5"/>
  <c r="AU43" s="1"/>
  <c r="AX43" s="1"/>
  <c r="Z43"/>
  <c r="AA41"/>
  <c r="Z41"/>
  <c r="AH18" i="6" s="1"/>
  <c r="AA35" i="5"/>
  <c r="AU35" s="1"/>
  <c r="AX35" s="1"/>
  <c r="Z35"/>
  <c r="AA33"/>
  <c r="AU33" s="1"/>
  <c r="AX33" s="1"/>
  <c r="Z33"/>
  <c r="AA31"/>
  <c r="Z31"/>
  <c r="AA29"/>
  <c r="AU29" s="1"/>
  <c r="AX29" s="1"/>
  <c r="Z29"/>
  <c r="AH10"/>
  <c r="AD10"/>
  <c r="AD11"/>
  <c r="AH13"/>
  <c r="AD13"/>
  <c r="AH15"/>
  <c r="AD15"/>
  <c r="AH18"/>
  <c r="AD18"/>
  <c r="AH21"/>
  <c r="AD21"/>
  <c r="AH22"/>
  <c r="AD22"/>
  <c r="AH23"/>
  <c r="AD23"/>
  <c r="AH24"/>
  <c r="AD24"/>
  <c r="AH25"/>
  <c r="AD25"/>
  <c r="V67"/>
  <c r="V69"/>
  <c r="V71"/>
  <c r="AA70"/>
  <c r="AU70" s="1"/>
  <c r="AX70" s="1"/>
  <c r="Z70"/>
  <c r="AA68"/>
  <c r="AU68" s="1"/>
  <c r="AX68" s="1"/>
  <c r="Z68"/>
  <c r="AA66"/>
  <c r="Z66"/>
  <c r="Z64"/>
  <c r="AA62"/>
  <c r="Z62"/>
  <c r="AH31" i="6" s="1"/>
  <c r="AA60" i="5"/>
  <c r="Z60"/>
  <c r="AH30" i="6" s="1"/>
  <c r="AA58" i="5"/>
  <c r="Z58"/>
  <c r="AH29" i="6" s="1"/>
  <c r="AA56" i="5"/>
  <c r="AU56" s="1"/>
  <c r="AX56" s="1"/>
  <c r="Z56"/>
  <c r="AA54"/>
  <c r="Z54"/>
  <c r="AA52"/>
  <c r="Z52"/>
  <c r="AH24" i="6" s="1"/>
  <c r="AA46" i="5"/>
  <c r="Z46"/>
  <c r="AA44"/>
  <c r="Z44"/>
  <c r="AH20" i="6" s="1"/>
  <c r="AA42" i="5"/>
  <c r="Z42"/>
  <c r="AH19" i="6" s="1"/>
  <c r="Z40" i="5"/>
  <c r="AA34"/>
  <c r="AU34" s="1"/>
  <c r="AX34" s="1"/>
  <c r="Z34"/>
  <c r="Z32"/>
  <c r="Z30"/>
  <c r="AA28"/>
  <c r="AU28" s="1"/>
  <c r="AX28" s="1"/>
  <c r="AB27"/>
  <c r="AV27" s="1"/>
  <c r="AC8"/>
  <c r="AW8" s="1"/>
  <c r="AC19"/>
  <c r="Z19"/>
  <c r="AH11" i="6" s="1"/>
  <c r="AC9" i="5"/>
  <c r="AW9" s="1"/>
  <c r="Z9"/>
  <c r="AC20"/>
  <c r="AW20" s="1"/>
  <c r="Z20"/>
  <c r="O35" i="6"/>
  <c r="BL35" s="1"/>
  <c r="O37"/>
  <c r="BL37" s="1"/>
  <c r="O36"/>
  <c r="BL36" s="1"/>
  <c r="S38"/>
  <c r="W38"/>
  <c r="W7"/>
  <c r="S7"/>
  <c r="O38"/>
  <c r="BL38" s="1"/>
  <c r="O7"/>
  <c r="AD27" l="1"/>
  <c r="AH22"/>
  <c r="Z50" i="5"/>
  <c r="AD34" i="6"/>
  <c r="AP21" i="5"/>
  <c r="AP24"/>
  <c r="AY25"/>
  <c r="AY15"/>
  <c r="AD29" i="6"/>
  <c r="AD35"/>
  <c r="AA24"/>
  <c r="AP23" i="5"/>
  <c r="AP13"/>
  <c r="AD33" i="6"/>
  <c r="AC5"/>
  <c r="AA13"/>
  <c r="AW19" i="5"/>
  <c r="AK11" i="6"/>
  <c r="AU31" i="5"/>
  <c r="AI13" i="6"/>
  <c r="AU41" i="5"/>
  <c r="AI18" i="6"/>
  <c r="AU45" i="5"/>
  <c r="AI21" i="6"/>
  <c r="AU47" i="5"/>
  <c r="AI23" i="6"/>
  <c r="AU53" i="5"/>
  <c r="AU55"/>
  <c r="AI27" i="6"/>
  <c r="AU57" i="5"/>
  <c r="AI28" i="6"/>
  <c r="AU65" i="5"/>
  <c r="AI32" i="6"/>
  <c r="AU67" i="5"/>
  <c r="AI34" i="6"/>
  <c r="AU38" i="5"/>
  <c r="AI16" i="6"/>
  <c r="AU36" i="5"/>
  <c r="AI14" i="6"/>
  <c r="AU72" i="5"/>
  <c r="AI35" i="6"/>
  <c r="AU76" i="5"/>
  <c r="AI36" i="6"/>
  <c r="AU80" i="5"/>
  <c r="AI37" i="6"/>
  <c r="AU82" i="5"/>
  <c r="AI38" i="6"/>
  <c r="AK8"/>
  <c r="AD24"/>
  <c r="AD13"/>
  <c r="W8" i="5"/>
  <c r="AA8" i="6"/>
  <c r="AA22"/>
  <c r="AA26"/>
  <c r="AA28"/>
  <c r="AA32"/>
  <c r="AA34"/>
  <c r="AH33"/>
  <c r="BA17" i="5"/>
  <c r="AS10" i="6"/>
  <c r="BA16" i="5"/>
  <c r="AS9" i="6"/>
  <c r="BA14" i="5"/>
  <c r="BA11"/>
  <c r="AS7" i="6"/>
  <c r="AD36"/>
  <c r="AU17" i="5"/>
  <c r="AE17"/>
  <c r="AM17"/>
  <c r="AV16"/>
  <c r="AV9" i="6" s="1"/>
  <c r="AJ9"/>
  <c r="AF16" i="5"/>
  <c r="AN16"/>
  <c r="AU16"/>
  <c r="AE16"/>
  <c r="AM16"/>
  <c r="AV14"/>
  <c r="AV8" i="6" s="1"/>
  <c r="AJ8"/>
  <c r="AF14" i="5"/>
  <c r="AN8" i="6" s="1"/>
  <c r="AN14" i="5"/>
  <c r="W5" i="6"/>
  <c r="AU42" i="5"/>
  <c r="AI19" i="6"/>
  <c r="AU44" i="5"/>
  <c r="AI20" i="6"/>
  <c r="AU46" i="5"/>
  <c r="AI22" i="6"/>
  <c r="AU52" i="5"/>
  <c r="AI24" i="6"/>
  <c r="AU54" i="5"/>
  <c r="AU58"/>
  <c r="AI29" i="6"/>
  <c r="AU60" i="5"/>
  <c r="AI30" i="6"/>
  <c r="AU62" i="5"/>
  <c r="AI31" i="6"/>
  <c r="AU66" i="5"/>
  <c r="AI33" i="6"/>
  <c r="AD17" i="5"/>
  <c r="AD16"/>
  <c r="AD14"/>
  <c r="AH13" i="6"/>
  <c r="AH23"/>
  <c r="AH27"/>
  <c r="AH28"/>
  <c r="AH32"/>
  <c r="AH34"/>
  <c r="AP10" i="5"/>
  <c r="AP22"/>
  <c r="AH35" i="6"/>
  <c r="AH36"/>
  <c r="AH37"/>
  <c r="AO10"/>
  <c r="AO9"/>
  <c r="AU37" i="5"/>
  <c r="AI15" i="6"/>
  <c r="AU39" i="5"/>
  <c r="AI17" i="6"/>
  <c r="W48" i="5"/>
  <c r="V33"/>
  <c r="AD28" i="6" s="1"/>
  <c r="BK5"/>
  <c r="BJ5"/>
  <c r="AU14" i="5"/>
  <c r="AE14"/>
  <c r="AM14"/>
  <c r="AV11"/>
  <c r="AV7" i="6" s="1"/>
  <c r="AJ7"/>
  <c r="AF11" i="5"/>
  <c r="AN7" i="6" s="1"/>
  <c r="AN11" i="5"/>
  <c r="AU19"/>
  <c r="AU11" i="6" s="1"/>
  <c r="AI11"/>
  <c r="AE19" i="5"/>
  <c r="AM11" i="6" s="1"/>
  <c r="AM19" i="5"/>
  <c r="AV26"/>
  <c r="AV12" i="6" s="1"/>
  <c r="AJ12"/>
  <c r="AF26" i="5"/>
  <c r="AN12" i="6" s="1"/>
  <c r="AN26" i="5"/>
  <c r="AV19"/>
  <c r="AV11" i="6" s="1"/>
  <c r="AJ11"/>
  <c r="AF19" i="5"/>
  <c r="AN11" i="6" s="1"/>
  <c r="AN19" i="5"/>
  <c r="AV17"/>
  <c r="AV10" i="6" s="1"/>
  <c r="AJ10"/>
  <c r="AF17" i="5"/>
  <c r="AN10" i="6" s="1"/>
  <c r="AN17" i="5"/>
  <c r="AU11"/>
  <c r="AX11" s="1"/>
  <c r="AE11"/>
  <c r="AM11"/>
  <c r="AU12" i="6"/>
  <c r="AX14" i="5"/>
  <c r="AW8" i="6"/>
  <c r="AW7"/>
  <c r="AB37" i="5"/>
  <c r="AF15" i="6"/>
  <c r="AC38" i="5"/>
  <c r="AG16" i="6"/>
  <c r="AB39" i="5"/>
  <c r="AF17" i="6"/>
  <c r="AB36" i="5"/>
  <c r="AF14" i="6"/>
  <c r="AB31" i="5"/>
  <c r="AF13" i="6"/>
  <c r="AB41" i="5"/>
  <c r="AF18" i="6"/>
  <c r="AC42" i="5"/>
  <c r="AG19" i="6"/>
  <c r="AB44" i="5"/>
  <c r="AF20" i="6"/>
  <c r="AC45" i="5"/>
  <c r="AG21" i="6"/>
  <c r="AB46" i="5"/>
  <c r="AF22" i="6"/>
  <c r="AC47" i="5"/>
  <c r="AG23" i="6"/>
  <c r="AB52" i="5"/>
  <c r="AF24" i="6"/>
  <c r="AC53" i="5"/>
  <c r="AG25" i="6"/>
  <c r="AB54" i="5"/>
  <c r="AF26" i="6"/>
  <c r="AE27"/>
  <c r="AC55" i="5"/>
  <c r="AG27" i="6"/>
  <c r="AB57" i="5"/>
  <c r="AF28" i="6"/>
  <c r="AC58" i="5"/>
  <c r="AG29" i="6"/>
  <c r="AB60" i="5"/>
  <c r="AF30" i="6"/>
  <c r="AC62" i="5"/>
  <c r="AG31" i="6"/>
  <c r="AB65" i="5"/>
  <c r="AF32" i="6"/>
  <c r="AE33"/>
  <c r="AC66" i="5"/>
  <c r="AG33" i="6"/>
  <c r="AB67" i="5"/>
  <c r="AF34" i="6"/>
  <c r="AC72" i="5"/>
  <c r="AG35" i="6"/>
  <c r="AB76" i="5"/>
  <c r="AF36" i="6"/>
  <c r="AB80" i="5"/>
  <c r="AF37" i="6"/>
  <c r="AC82" i="5"/>
  <c r="AG38" i="6"/>
  <c r="AD30"/>
  <c r="AD26"/>
  <c r="AD22"/>
  <c r="W27" i="5"/>
  <c r="AA9" i="6"/>
  <c r="AB5"/>
  <c r="BA26" i="5"/>
  <c r="BA12" i="6" s="1"/>
  <c r="AX17" i="5"/>
  <c r="AW10" i="6"/>
  <c r="AX16" i="5"/>
  <c r="AW9" i="6"/>
  <c r="AC37" i="5"/>
  <c r="AG15" i="6"/>
  <c r="AB38" i="5"/>
  <c r="AF16" i="6"/>
  <c r="AC39" i="5"/>
  <c r="AG17" i="6"/>
  <c r="AC36" i="5"/>
  <c r="AD36" s="1"/>
  <c r="AL14" i="6" s="1"/>
  <c r="AG14"/>
  <c r="AE13"/>
  <c r="AC31" i="5"/>
  <c r="AG13" i="6"/>
  <c r="AC41" i="5"/>
  <c r="AG18" i="6"/>
  <c r="AB42" i="5"/>
  <c r="AF19" i="6"/>
  <c r="AC44" i="5"/>
  <c r="AG20" i="6"/>
  <c r="AB45" i="5"/>
  <c r="AF21" i="6"/>
  <c r="AE22"/>
  <c r="AC46" i="5"/>
  <c r="AG22" i="6"/>
  <c r="AB47" i="5"/>
  <c r="AF23" i="6"/>
  <c r="AE24"/>
  <c r="AC52" i="5"/>
  <c r="AG24" i="6"/>
  <c r="AB53" i="5"/>
  <c r="AF25" i="6"/>
  <c r="AE26"/>
  <c r="AC54" i="5"/>
  <c r="AG26" i="6"/>
  <c r="AB55" i="5"/>
  <c r="AF27" i="6"/>
  <c r="AE28"/>
  <c r="AC57" i="5"/>
  <c r="AG28" i="6"/>
  <c r="AB58" i="5"/>
  <c r="AF29" i="6"/>
  <c r="AC60" i="5"/>
  <c r="AG30" i="6"/>
  <c r="AB62" i="5"/>
  <c r="AF31" i="6"/>
  <c r="AE32"/>
  <c r="AC65" i="5"/>
  <c r="AG32" i="6"/>
  <c r="AB66" i="5"/>
  <c r="AF33" i="6"/>
  <c r="AE34"/>
  <c r="AC67" i="5"/>
  <c r="AG34" i="6"/>
  <c r="AB72" i="5"/>
  <c r="AF35" i="6"/>
  <c r="AC76" i="5"/>
  <c r="AG36" i="6"/>
  <c r="AC80" i="5"/>
  <c r="AG37" i="6"/>
  <c r="AB82" i="5"/>
  <c r="AF38" i="6"/>
  <c r="W63" i="5"/>
  <c r="AA7" i="6"/>
  <c r="AA5" s="1"/>
  <c r="O5"/>
  <c r="BL7"/>
  <c r="S5"/>
  <c r="BG21" i="5"/>
  <c r="BH21"/>
  <c r="BG18"/>
  <c r="BH18"/>
  <c r="BG10"/>
  <c r="BH10"/>
  <c r="AY23"/>
  <c r="BB23" s="1"/>
  <c r="BF23" s="1"/>
  <c r="AY13"/>
  <c r="AY24"/>
  <c r="BB24" s="1"/>
  <c r="BF24" s="1"/>
  <c r="AY20"/>
  <c r="AC5"/>
  <c r="W12"/>
  <c r="AE25" i="6" s="1"/>
  <c r="S5" i="5"/>
  <c r="AV12"/>
  <c r="AB5"/>
  <c r="AN12"/>
  <c r="AF12"/>
  <c r="V5"/>
  <c r="BA12"/>
  <c r="AP26"/>
  <c r="AT12" i="6" s="1"/>
  <c r="AY26" i="5"/>
  <c r="AY12" i="6" s="1"/>
  <c r="BB13" i="5"/>
  <c r="BF13" s="1"/>
  <c r="BB25"/>
  <c r="BF25" s="1"/>
  <c r="BB15"/>
  <c r="BF15" s="1"/>
  <c r="BB22"/>
  <c r="BF22" s="1"/>
  <c r="AX9"/>
  <c r="AX20"/>
  <c r="AH26"/>
  <c r="AP12" i="6" s="1"/>
  <c r="AG8" i="5"/>
  <c r="AO8" i="6" s="1"/>
  <c r="AO8" i="5"/>
  <c r="AS8" i="6" s="1"/>
  <c r="AF27" i="5"/>
  <c r="AN27"/>
  <c r="AZ27" s="1"/>
  <c r="AE28"/>
  <c r="AH28" s="1"/>
  <c r="AM28"/>
  <c r="AE30"/>
  <c r="AH30" s="1"/>
  <c r="AM30"/>
  <c r="AE32"/>
  <c r="AH32" s="1"/>
  <c r="AM32"/>
  <c r="AE34"/>
  <c r="AH34" s="1"/>
  <c r="AM34"/>
  <c r="AE40"/>
  <c r="AH40" s="1"/>
  <c r="AM40"/>
  <c r="AE42"/>
  <c r="AM42"/>
  <c r="AQ19" i="6" s="1"/>
  <c r="AE44" i="5"/>
  <c r="AM44"/>
  <c r="AQ20" i="6" s="1"/>
  <c r="AE46" i="5"/>
  <c r="AM46"/>
  <c r="AE50"/>
  <c r="AH50" s="1"/>
  <c r="AM50"/>
  <c r="AE52"/>
  <c r="AM52"/>
  <c r="AE54"/>
  <c r="AM54"/>
  <c r="AE56"/>
  <c r="AH56" s="1"/>
  <c r="AM56"/>
  <c r="AE58"/>
  <c r="AM58"/>
  <c r="AE60"/>
  <c r="AM60"/>
  <c r="AQ30" i="6" s="1"/>
  <c r="AE62" i="5"/>
  <c r="AM62"/>
  <c r="AQ31" i="6" s="1"/>
  <c r="AE64" i="5"/>
  <c r="AH64" s="1"/>
  <c r="AM64"/>
  <c r="AE66"/>
  <c r="AM66"/>
  <c r="AE68"/>
  <c r="AH68" s="1"/>
  <c r="AM68"/>
  <c r="AE70"/>
  <c r="AH70" s="1"/>
  <c r="AM70"/>
  <c r="AE38"/>
  <c r="AM38"/>
  <c r="AQ16" i="6" s="1"/>
  <c r="AD38" i="5"/>
  <c r="AL16" i="6" s="1"/>
  <c r="AE36" i="5"/>
  <c r="AM36"/>
  <c r="AQ14" i="6" s="1"/>
  <c r="AM72" i="5"/>
  <c r="AE72"/>
  <c r="AD72"/>
  <c r="AM74"/>
  <c r="AE74"/>
  <c r="AH74" s="1"/>
  <c r="AD74"/>
  <c r="AM76"/>
  <c r="AE76"/>
  <c r="AD76"/>
  <c r="AM78"/>
  <c r="AE78"/>
  <c r="AD78"/>
  <c r="AM80"/>
  <c r="AE80"/>
  <c r="AD80"/>
  <c r="AM82"/>
  <c r="AQ38" i="6" s="1"/>
  <c r="AE82" i="5"/>
  <c r="AM38" i="6" s="1"/>
  <c r="AD82" i="5"/>
  <c r="AL38" i="6" s="1"/>
  <c r="AE37" i="5"/>
  <c r="AM37"/>
  <c r="AQ15" i="6" s="1"/>
  <c r="AD37" i="5"/>
  <c r="AL15" i="6" s="1"/>
  <c r="AE39" i="5"/>
  <c r="AM39"/>
  <c r="AQ17" i="6" s="1"/>
  <c r="AD39" i="5"/>
  <c r="AL17" i="6" s="1"/>
  <c r="AM73" i="5"/>
  <c r="AE73"/>
  <c r="AH73" s="1"/>
  <c r="AD73"/>
  <c r="AM75"/>
  <c r="AE75"/>
  <c r="AH75" s="1"/>
  <c r="AD75"/>
  <c r="AM77"/>
  <c r="AE77"/>
  <c r="AH77" s="1"/>
  <c r="AD77"/>
  <c r="AM79"/>
  <c r="AE79"/>
  <c r="AH79" s="1"/>
  <c r="AD79"/>
  <c r="AM81"/>
  <c r="AE81"/>
  <c r="AH81" s="1"/>
  <c r="AD81"/>
  <c r="AM83"/>
  <c r="AE83"/>
  <c r="AH83" s="1"/>
  <c r="AD83"/>
  <c r="AG20"/>
  <c r="AO20"/>
  <c r="AG9"/>
  <c r="AO9"/>
  <c r="AG19"/>
  <c r="AO11" i="6" s="1"/>
  <c r="AO19" i="5"/>
  <c r="AS11" i="6" s="1"/>
  <c r="AE29" i="5"/>
  <c r="AH29" s="1"/>
  <c r="AM29"/>
  <c r="AE31"/>
  <c r="AM31"/>
  <c r="AE33"/>
  <c r="AM33"/>
  <c r="AE35"/>
  <c r="AM35"/>
  <c r="AE41"/>
  <c r="AM18" i="6" s="1"/>
  <c r="AM41" i="5"/>
  <c r="AQ18" i="6" s="1"/>
  <c r="AE43" i="5"/>
  <c r="AH43" s="1"/>
  <c r="AM43"/>
  <c r="AE45"/>
  <c r="AM21" i="6" s="1"/>
  <c r="AM45" i="5"/>
  <c r="AQ21" i="6" s="1"/>
  <c r="AE47" i="5"/>
  <c r="AM23" i="6" s="1"/>
  <c r="AM47" i="5"/>
  <c r="AQ23" i="6" s="1"/>
  <c r="AE49" i="5"/>
  <c r="AH49" s="1"/>
  <c r="AM49"/>
  <c r="AE51"/>
  <c r="AH51" s="1"/>
  <c r="AM51"/>
  <c r="AE53"/>
  <c r="AM53"/>
  <c r="AE55"/>
  <c r="AM55"/>
  <c r="AE57"/>
  <c r="AM28" i="6" s="1"/>
  <c r="AM57" i="5"/>
  <c r="AQ28" i="6" s="1"/>
  <c r="AE59" i="5"/>
  <c r="AM59"/>
  <c r="AE61"/>
  <c r="AM61"/>
  <c r="AE65"/>
  <c r="AM32" i="6" s="1"/>
  <c r="AM65" i="5"/>
  <c r="AQ32" i="6" s="1"/>
  <c r="AE67" i="5"/>
  <c r="AM34" i="6" s="1"/>
  <c r="AM67" i="5"/>
  <c r="AQ34" i="6" s="1"/>
  <c r="AE69" i="5"/>
  <c r="AM69"/>
  <c r="AE71"/>
  <c r="AM71"/>
  <c r="AA7"/>
  <c r="AU7" s="1"/>
  <c r="AX7" s="1"/>
  <c r="Z7"/>
  <c r="AH10" i="6" s="1"/>
  <c r="AD28" i="5"/>
  <c r="AD30"/>
  <c r="AD32"/>
  <c r="AD34"/>
  <c r="AD40"/>
  <c r="AD42"/>
  <c r="AL19" i="6" s="1"/>
  <c r="AD44" i="5"/>
  <c r="AL20" i="6" s="1"/>
  <c r="AD46" i="5"/>
  <c r="AD50"/>
  <c r="AD52"/>
  <c r="AD54"/>
  <c r="AD56"/>
  <c r="AD58"/>
  <c r="AD60"/>
  <c r="AD62"/>
  <c r="AL31" i="6" s="1"/>
  <c r="AD64" i="5"/>
  <c r="AD66"/>
  <c r="AD68"/>
  <c r="AD70"/>
  <c r="AD29"/>
  <c r="AD31"/>
  <c r="AH33"/>
  <c r="AD33"/>
  <c r="AH35"/>
  <c r="AD35"/>
  <c r="AD41"/>
  <c r="AL18" i="6" s="1"/>
  <c r="AD43" i="5"/>
  <c r="AD45"/>
  <c r="AL21" i="6" s="1"/>
  <c r="AD47" i="5"/>
  <c r="AL23" i="6" s="1"/>
  <c r="AD49" i="5"/>
  <c r="AD51"/>
  <c r="AD53"/>
  <c r="AD55"/>
  <c r="AD57"/>
  <c r="AH59"/>
  <c r="AD59"/>
  <c r="AH61"/>
  <c r="AD61"/>
  <c r="AD65"/>
  <c r="AL32" i="6" s="1"/>
  <c r="AD67" i="5"/>
  <c r="AH69"/>
  <c r="AD69"/>
  <c r="AH71"/>
  <c r="AD71"/>
  <c r="AH20"/>
  <c r="AD20"/>
  <c r="AH9"/>
  <c r="AD9"/>
  <c r="AH19"/>
  <c r="AP11" i="6" s="1"/>
  <c r="AD19" i="5"/>
  <c r="AL11" i="6" s="1"/>
  <c r="AL34" l="1"/>
  <c r="AL28"/>
  <c r="AL24"/>
  <c r="AM37"/>
  <c r="AM36"/>
  <c r="AX26" i="5"/>
  <c r="AX12" i="6" s="1"/>
  <c r="AG5"/>
  <c r="AF5"/>
  <c r="AD5"/>
  <c r="AQ27"/>
  <c r="AQ13"/>
  <c r="AM17"/>
  <c r="AM35"/>
  <c r="AM14"/>
  <c r="AQ33"/>
  <c r="AQ29"/>
  <c r="AQ24"/>
  <c r="AQ22"/>
  <c r="AV66" i="5"/>
  <c r="AV33" i="6" s="1"/>
  <c r="AJ33"/>
  <c r="AF66" i="5"/>
  <c r="AN33" i="6" s="1"/>
  <c r="AN66" i="5"/>
  <c r="AW65"/>
  <c r="AW32" i="6" s="1"/>
  <c r="AK32"/>
  <c r="AG65" i="5"/>
  <c r="AO32" i="6" s="1"/>
  <c r="AO65" i="5"/>
  <c r="AV55"/>
  <c r="AV27" i="6" s="1"/>
  <c r="AJ27"/>
  <c r="AN55" i="5"/>
  <c r="AF55"/>
  <c r="AW54"/>
  <c r="AW26" i="6" s="1"/>
  <c r="AK26"/>
  <c r="AO54" i="5"/>
  <c r="AG54"/>
  <c r="AO26" i="6" s="1"/>
  <c r="AV47" i="5"/>
  <c r="AV23" i="6" s="1"/>
  <c r="AJ23"/>
  <c r="AN47" i="5"/>
  <c r="AF47"/>
  <c r="AW46"/>
  <c r="AW22" i="6" s="1"/>
  <c r="AK22"/>
  <c r="AO46" i="5"/>
  <c r="AG46"/>
  <c r="AO22" i="6" s="1"/>
  <c r="AW36" i="5"/>
  <c r="AW14" i="6" s="1"/>
  <c r="AK14"/>
  <c r="AO36" i="5"/>
  <c r="AG36"/>
  <c r="AO14" i="6" s="1"/>
  <c r="AW39" i="5"/>
  <c r="AW17" i="6" s="1"/>
  <c r="AK17"/>
  <c r="AG39" i="5"/>
  <c r="AO17" i="6" s="1"/>
  <c r="AO39" i="5"/>
  <c r="AV38"/>
  <c r="AV16" i="6" s="1"/>
  <c r="AJ16"/>
  <c r="AF38" i="5"/>
  <c r="AN16" i="6" s="1"/>
  <c r="AN38" i="5"/>
  <c r="AW37"/>
  <c r="AW15" i="6" s="1"/>
  <c r="AK15"/>
  <c r="AG37" i="5"/>
  <c r="AO15" i="6" s="1"/>
  <c r="AO37" i="5"/>
  <c r="AX10" i="6"/>
  <c r="AE9"/>
  <c r="Z27" i="5"/>
  <c r="AH9" i="6" s="1"/>
  <c r="AA27" i="5"/>
  <c r="AV65"/>
  <c r="AV32" i="6" s="1"/>
  <c r="AJ32"/>
  <c r="AN65" i="5"/>
  <c r="AF65"/>
  <c r="AW62"/>
  <c r="AW31" i="6" s="1"/>
  <c r="AK31"/>
  <c r="AO62" i="5"/>
  <c r="AG62"/>
  <c r="AO31" i="6" s="1"/>
  <c r="AV60" i="5"/>
  <c r="AV30" i="6" s="1"/>
  <c r="AJ30"/>
  <c r="AF60" i="5"/>
  <c r="AN30" i="6" s="1"/>
  <c r="AN60" i="5"/>
  <c r="AW58"/>
  <c r="AW29" i="6" s="1"/>
  <c r="AK29"/>
  <c r="AO58" i="5"/>
  <c r="AG58"/>
  <c r="AO29" i="6" s="1"/>
  <c r="AV57" i="5"/>
  <c r="AV28" i="6" s="1"/>
  <c r="AJ28"/>
  <c r="AN57" i="5"/>
  <c r="AF57"/>
  <c r="AW55"/>
  <c r="AW27" i="6" s="1"/>
  <c r="AK27"/>
  <c r="AG55" i="5"/>
  <c r="AO27" i="6" s="1"/>
  <c r="AO55" i="5"/>
  <c r="AV52"/>
  <c r="AV24" i="6" s="1"/>
  <c r="AJ24"/>
  <c r="AF52" i="5"/>
  <c r="AN24" i="6" s="1"/>
  <c r="AN52" i="5"/>
  <c r="AW47"/>
  <c r="AW23" i="6" s="1"/>
  <c r="AK23"/>
  <c r="AG47" i="5"/>
  <c r="AO23" i="6" s="1"/>
  <c r="AO47" i="5"/>
  <c r="AV46"/>
  <c r="AV22" i="6" s="1"/>
  <c r="AJ22"/>
  <c r="AF46" i="5"/>
  <c r="AN22" i="6" s="1"/>
  <c r="AN46" i="5"/>
  <c r="AW45"/>
  <c r="AW21" i="6" s="1"/>
  <c r="AK21"/>
  <c r="AG45" i="5"/>
  <c r="AO21" i="6" s="1"/>
  <c r="AO45" i="5"/>
  <c r="AV44"/>
  <c r="AV20" i="6" s="1"/>
  <c r="AJ20"/>
  <c r="AF44" i="5"/>
  <c r="AN20" i="6" s="1"/>
  <c r="AN44" i="5"/>
  <c r="AW42"/>
  <c r="AW19" i="6" s="1"/>
  <c r="AK19"/>
  <c r="AO42" i="5"/>
  <c r="AG42"/>
  <c r="AO19" i="6" s="1"/>
  <c r="AV41" i="5"/>
  <c r="AV18" i="6" s="1"/>
  <c r="AJ18"/>
  <c r="AN41" i="5"/>
  <c r="AF41"/>
  <c r="AV31"/>
  <c r="AV13" i="6" s="1"/>
  <c r="AJ13"/>
  <c r="AN31" i="5"/>
  <c r="AF31"/>
  <c r="AV36"/>
  <c r="AV14" i="6" s="1"/>
  <c r="AJ14"/>
  <c r="AF36" i="5"/>
  <c r="AN14" i="6" s="1"/>
  <c r="AN36" i="5"/>
  <c r="AV39"/>
  <c r="AV17" i="6" s="1"/>
  <c r="AJ17"/>
  <c r="AN39" i="5"/>
  <c r="AF39"/>
  <c r="AN17" i="6" s="1"/>
  <c r="AW38" i="5"/>
  <c r="AW16" i="6" s="1"/>
  <c r="AK16"/>
  <c r="AO38" i="5"/>
  <c r="AG38"/>
  <c r="AO16" i="6" s="1"/>
  <c r="AV37" i="5"/>
  <c r="AV15" i="6" s="1"/>
  <c r="AJ15"/>
  <c r="AN37" i="5"/>
  <c r="AF37"/>
  <c r="AN15" i="6" s="1"/>
  <c r="AH11" i="5"/>
  <c r="AZ17"/>
  <c r="AZ10" i="6" s="1"/>
  <c r="AR10"/>
  <c r="AZ19" i="5"/>
  <c r="AZ11" i="6" s="1"/>
  <c r="AR11"/>
  <c r="AZ26" i="5"/>
  <c r="AZ12" i="6" s="1"/>
  <c r="AR12"/>
  <c r="AY19" i="5"/>
  <c r="AY11" i="6" s="1"/>
  <c r="AQ11"/>
  <c r="AZ11" i="5"/>
  <c r="AZ7" i="6" s="1"/>
  <c r="AR7"/>
  <c r="AY14" i="5"/>
  <c r="AP14"/>
  <c r="AZ14"/>
  <c r="AZ8" i="6" s="1"/>
  <c r="AR8"/>
  <c r="AY16" i="5"/>
  <c r="AP16"/>
  <c r="AZ16"/>
  <c r="AZ9" i="6" s="1"/>
  <c r="AR9"/>
  <c r="AY17" i="5"/>
  <c r="AP17"/>
  <c r="AI10" i="6"/>
  <c r="BA7"/>
  <c r="BB14" i="5"/>
  <c r="BB16"/>
  <c r="BA9" i="6"/>
  <c r="BB17" i="5"/>
  <c r="BA10" i="6"/>
  <c r="AA8" i="5"/>
  <c r="Z8"/>
  <c r="AH8" i="6" s="1"/>
  <c r="AE8"/>
  <c r="AX19" i="5"/>
  <c r="AX11" i="6" s="1"/>
  <c r="AW11"/>
  <c r="AL27"/>
  <c r="AL13"/>
  <c r="AL30"/>
  <c r="AL33"/>
  <c r="AL29"/>
  <c r="AL22"/>
  <c r="AM27"/>
  <c r="AM13"/>
  <c r="AH37" i="5"/>
  <c r="AP15" i="6" s="1"/>
  <c r="AM15"/>
  <c r="AL37"/>
  <c r="AQ37"/>
  <c r="AL36"/>
  <c r="AQ36"/>
  <c r="AL35"/>
  <c r="AQ35"/>
  <c r="AH38" i="5"/>
  <c r="AP16" i="6" s="1"/>
  <c r="AM16"/>
  <c r="AM33"/>
  <c r="AM31"/>
  <c r="AM30"/>
  <c r="AM29"/>
  <c r="AM24"/>
  <c r="AH46" i="5"/>
  <c r="AP22" i="6" s="1"/>
  <c r="AM22"/>
  <c r="AM20"/>
  <c r="AM19"/>
  <c r="Z63" i="5"/>
  <c r="AH7" i="6" s="1"/>
  <c r="AE7"/>
  <c r="AE5" s="1"/>
  <c r="AA63" i="5"/>
  <c r="AV82"/>
  <c r="AV38" i="6" s="1"/>
  <c r="AJ38"/>
  <c r="AF82" i="5"/>
  <c r="AN38" i="6" s="1"/>
  <c r="AN82" i="5"/>
  <c r="AW80"/>
  <c r="AW37" i="6" s="1"/>
  <c r="AK37"/>
  <c r="AG80" i="5"/>
  <c r="AO37" i="6" s="1"/>
  <c r="AO80" i="5"/>
  <c r="AW76"/>
  <c r="AW36" i="6" s="1"/>
  <c r="AK36"/>
  <c r="AG76" i="5"/>
  <c r="AO36" i="6" s="1"/>
  <c r="AO76" i="5"/>
  <c r="AV72"/>
  <c r="AV35" i="6" s="1"/>
  <c r="AJ35"/>
  <c r="AF72" i="5"/>
  <c r="AN35" i="6" s="1"/>
  <c r="AN72" i="5"/>
  <c r="AW67"/>
  <c r="AW34" i="6" s="1"/>
  <c r="AK34"/>
  <c r="AG67" i="5"/>
  <c r="AO34" i="6" s="1"/>
  <c r="AO67" i="5"/>
  <c r="AV62"/>
  <c r="AV31" i="6" s="1"/>
  <c r="AJ31"/>
  <c r="AF62" i="5"/>
  <c r="AN31" i="6" s="1"/>
  <c r="AN62" i="5"/>
  <c r="AW60"/>
  <c r="AW30" i="6" s="1"/>
  <c r="AK30"/>
  <c r="AO60" i="5"/>
  <c r="AG60"/>
  <c r="AO30" i="6" s="1"/>
  <c r="AV58" i="5"/>
  <c r="AV29" i="6" s="1"/>
  <c r="AJ29"/>
  <c r="AF58" i="5"/>
  <c r="AN29" i="6" s="1"/>
  <c r="AN58" i="5"/>
  <c r="AW57"/>
  <c r="AW28" i="6" s="1"/>
  <c r="AK28"/>
  <c r="AG57" i="5"/>
  <c r="AO28" i="6" s="1"/>
  <c r="AO57" i="5"/>
  <c r="AV53"/>
  <c r="AV25" i="6" s="1"/>
  <c r="AJ25"/>
  <c r="AN53" i="5"/>
  <c r="AF53"/>
  <c r="AW52"/>
  <c r="AW24" i="6" s="1"/>
  <c r="AK24"/>
  <c r="AO52" i="5"/>
  <c r="AG52"/>
  <c r="AO24" i="6" s="1"/>
  <c r="AV45" i="5"/>
  <c r="AV21" i="6" s="1"/>
  <c r="AJ21"/>
  <c r="AN45" i="5"/>
  <c r="AF45"/>
  <c r="AW44"/>
  <c r="AW20" i="6" s="1"/>
  <c r="AK20"/>
  <c r="AO44" i="5"/>
  <c r="AG44"/>
  <c r="AO20" i="6" s="1"/>
  <c r="AV42" i="5"/>
  <c r="AV19" i="6" s="1"/>
  <c r="AJ19"/>
  <c r="AF42" i="5"/>
  <c r="AN19" i="6" s="1"/>
  <c r="AN42" i="5"/>
  <c r="AW41"/>
  <c r="AW18" i="6" s="1"/>
  <c r="AK18"/>
  <c r="AG41" i="5"/>
  <c r="AO18" i="6" s="1"/>
  <c r="AO41" i="5"/>
  <c r="AW31"/>
  <c r="AK13" i="6"/>
  <c r="AG31" i="5"/>
  <c r="AO13" i="6" s="1"/>
  <c r="AO31" i="5"/>
  <c r="AW82"/>
  <c r="AW38" i="6" s="1"/>
  <c r="AK38"/>
  <c r="AG82" i="5"/>
  <c r="AO38" i="6" s="1"/>
  <c r="AO82" i="5"/>
  <c r="AV80"/>
  <c r="AV37" i="6" s="1"/>
  <c r="AJ37"/>
  <c r="AF80" i="5"/>
  <c r="AN37" i="6" s="1"/>
  <c r="AN80" i="5"/>
  <c r="AV76"/>
  <c r="AV36" i="6" s="1"/>
  <c r="AJ36"/>
  <c r="AF76" i="5"/>
  <c r="AN36" i="6" s="1"/>
  <c r="AN76" i="5"/>
  <c r="AW72"/>
  <c r="AW35" i="6" s="1"/>
  <c r="AK35"/>
  <c r="AG72" i="5"/>
  <c r="AO35" i="6" s="1"/>
  <c r="AO72" i="5"/>
  <c r="AV67"/>
  <c r="AV34" i="6" s="1"/>
  <c r="AJ34"/>
  <c r="AN67" i="5"/>
  <c r="AF67"/>
  <c r="AW66"/>
  <c r="AW33" i="6" s="1"/>
  <c r="AK33"/>
  <c r="AO66" i="5"/>
  <c r="AG66"/>
  <c r="AO33" i="6" s="1"/>
  <c r="AV54" i="5"/>
  <c r="AV26" i="6" s="1"/>
  <c r="AJ26"/>
  <c r="AF54" i="5"/>
  <c r="AN26" i="6" s="1"/>
  <c r="AN54" i="5"/>
  <c r="AW53"/>
  <c r="AW25" i="6" s="1"/>
  <c r="AK25"/>
  <c r="AG53" i="5"/>
  <c r="AO25" i="6" s="1"/>
  <c r="AO53" i="5"/>
  <c r="AY11"/>
  <c r="AP11"/>
  <c r="AH14"/>
  <c r="AA48"/>
  <c r="Z48"/>
  <c r="AH26" i="6" s="1"/>
  <c r="AX39" i="5"/>
  <c r="AX17" i="6" s="1"/>
  <c r="AU17"/>
  <c r="AX37" i="5"/>
  <c r="AX15" i="6" s="1"/>
  <c r="AU15"/>
  <c r="AU33"/>
  <c r="AX62" i="5"/>
  <c r="AX31" i="6" s="1"/>
  <c r="AU31"/>
  <c r="AX60" i="5"/>
  <c r="AX30" i="6" s="1"/>
  <c r="AU30"/>
  <c r="AX58" i="5"/>
  <c r="AX29" i="6" s="1"/>
  <c r="AU29"/>
  <c r="AX52" i="5"/>
  <c r="AX24" i="6" s="1"/>
  <c r="AU24"/>
  <c r="AX46" i="5"/>
  <c r="AX22" i="6" s="1"/>
  <c r="AU22"/>
  <c r="AX44" i="5"/>
  <c r="AX20" i="6" s="1"/>
  <c r="AU20"/>
  <c r="AX42" i="5"/>
  <c r="AX19" i="6" s="1"/>
  <c r="AU19"/>
  <c r="AH16" i="5"/>
  <c r="AN9" i="6"/>
  <c r="AH17" i="5"/>
  <c r="AU10" i="6"/>
  <c r="AX82" i="5"/>
  <c r="AX38" i="6" s="1"/>
  <c r="AU38"/>
  <c r="AU37"/>
  <c r="AU36"/>
  <c r="AU35"/>
  <c r="AX36" i="5"/>
  <c r="AX14" i="6" s="1"/>
  <c r="AU14"/>
  <c r="AX38" i="5"/>
  <c r="AX16" i="6" s="1"/>
  <c r="AU16"/>
  <c r="AU34"/>
  <c r="AX65" i="5"/>
  <c r="AX32" i="6" s="1"/>
  <c r="AU32"/>
  <c r="AX57" i="5"/>
  <c r="AX28" i="6" s="1"/>
  <c r="AU28"/>
  <c r="AX55" i="5"/>
  <c r="AX27" i="6" s="1"/>
  <c r="AU27"/>
  <c r="AX47" i="5"/>
  <c r="AX23" i="6" s="1"/>
  <c r="AU23"/>
  <c r="AX45" i="5"/>
  <c r="AX21" i="6" s="1"/>
  <c r="AU21"/>
  <c r="AX41" i="5"/>
  <c r="AX18" i="6" s="1"/>
  <c r="AU18"/>
  <c r="AX31" i="5"/>
  <c r="AX13" i="6" s="1"/>
  <c r="AU13"/>
  <c r="BL5"/>
  <c r="N38" i="4"/>
  <c r="N24"/>
  <c r="N14"/>
  <c r="N37"/>
  <c r="N23"/>
  <c r="N11"/>
  <c r="N13"/>
  <c r="AO5" i="5"/>
  <c r="BG22"/>
  <c r="BH22"/>
  <c r="BG25"/>
  <c r="BH25"/>
  <c r="BG13"/>
  <c r="BH13"/>
  <c r="AG5"/>
  <c r="BG15"/>
  <c r="BH15"/>
  <c r="BG24"/>
  <c r="BH24"/>
  <c r="BG23"/>
  <c r="BH23"/>
  <c r="AZ12"/>
  <c r="AN5"/>
  <c r="AA12"/>
  <c r="AI25" i="6" s="1"/>
  <c r="W5" i="5"/>
  <c r="Z12"/>
  <c r="AP83"/>
  <c r="AY83"/>
  <c r="BB83" s="1"/>
  <c r="BF83" s="1"/>
  <c r="AP79"/>
  <c r="AY79"/>
  <c r="BB79" s="1"/>
  <c r="BF79" s="1"/>
  <c r="AP75"/>
  <c r="AY75"/>
  <c r="BB75" s="1"/>
  <c r="BF75" s="1"/>
  <c r="AP37"/>
  <c r="AT15" i="6" s="1"/>
  <c r="AY37" i="5"/>
  <c r="AP82"/>
  <c r="AT38" i="6" s="1"/>
  <c r="AY82" i="5"/>
  <c r="AP78"/>
  <c r="AY78"/>
  <c r="BB78" s="1"/>
  <c r="BF78" s="1"/>
  <c r="AP74"/>
  <c r="AY74"/>
  <c r="BB74" s="1"/>
  <c r="BF74" s="1"/>
  <c r="AP38"/>
  <c r="AT16" i="6" s="1"/>
  <c r="AY38" i="5"/>
  <c r="AP70"/>
  <c r="AY70"/>
  <c r="BB70" s="1"/>
  <c r="BF70" s="1"/>
  <c r="AP68"/>
  <c r="AY68"/>
  <c r="BB68" s="1"/>
  <c r="BF68" s="1"/>
  <c r="AP66"/>
  <c r="AY66"/>
  <c r="AP64"/>
  <c r="AY64"/>
  <c r="BB64" s="1"/>
  <c r="BF64" s="1"/>
  <c r="AP62"/>
  <c r="AT31" i="6" s="1"/>
  <c r="AY62" i="5"/>
  <c r="AY31" i="6" s="1"/>
  <c r="AP60" i="5"/>
  <c r="AY60"/>
  <c r="AP58"/>
  <c r="AT29" i="6" s="1"/>
  <c r="AY58" i="5"/>
  <c r="AY29" i="6" s="1"/>
  <c r="AP56" i="5"/>
  <c r="AY56"/>
  <c r="BB56" s="1"/>
  <c r="BF56" s="1"/>
  <c r="AP54"/>
  <c r="AY54"/>
  <c r="AP52"/>
  <c r="AY52"/>
  <c r="AP50"/>
  <c r="AY50"/>
  <c r="BB50" s="1"/>
  <c r="BF50" s="1"/>
  <c r="AP46"/>
  <c r="AY46"/>
  <c r="AP44"/>
  <c r="AT20" i="6" s="1"/>
  <c r="AY44" i="5"/>
  <c r="AY20" i="6" s="1"/>
  <c r="AP42" i="5"/>
  <c r="AT19" i="6" s="1"/>
  <c r="AY42" i="5"/>
  <c r="AP40"/>
  <c r="AY40"/>
  <c r="BB40" s="1"/>
  <c r="BF40" s="1"/>
  <c r="AP34"/>
  <c r="AY34"/>
  <c r="BB34" s="1"/>
  <c r="BF34" s="1"/>
  <c r="AP32"/>
  <c r="AY32"/>
  <c r="BB32" s="1"/>
  <c r="BF32" s="1"/>
  <c r="AP30"/>
  <c r="AY30"/>
  <c r="BB30" s="1"/>
  <c r="BF30" s="1"/>
  <c r="AP28"/>
  <c r="AY28"/>
  <c r="BB28" s="1"/>
  <c r="BF28" s="1"/>
  <c r="BA8"/>
  <c r="BA8" i="6" s="1"/>
  <c r="AP71" i="5"/>
  <c r="AY71"/>
  <c r="BB71" s="1"/>
  <c r="BF71" s="1"/>
  <c r="AP69"/>
  <c r="AY69"/>
  <c r="BB69" s="1"/>
  <c r="BF69" s="1"/>
  <c r="AP67"/>
  <c r="AY67"/>
  <c r="AP65"/>
  <c r="AY65"/>
  <c r="AP61"/>
  <c r="AY61"/>
  <c r="BB61" s="1"/>
  <c r="BF61" s="1"/>
  <c r="AP59"/>
  <c r="AY59"/>
  <c r="BB59" s="1"/>
  <c r="BF59" s="1"/>
  <c r="AP57"/>
  <c r="AY57"/>
  <c r="AP55"/>
  <c r="AT27" i="6" s="1"/>
  <c r="AY55" i="5"/>
  <c r="AP53"/>
  <c r="AY53"/>
  <c r="AP51"/>
  <c r="AY51"/>
  <c r="BB51" s="1"/>
  <c r="BF51" s="1"/>
  <c r="AP49"/>
  <c r="AY49"/>
  <c r="BB49" s="1"/>
  <c r="BF49" s="1"/>
  <c r="AP47"/>
  <c r="AT23" i="6" s="1"/>
  <c r="AY47" i="5"/>
  <c r="AP45"/>
  <c r="AT21" i="6" s="1"/>
  <c r="AY45" i="5"/>
  <c r="AP43"/>
  <c r="AY43"/>
  <c r="BB43" s="1"/>
  <c r="BF43" s="1"/>
  <c r="AP41"/>
  <c r="AT18" i="6" s="1"/>
  <c r="AY41" i="5"/>
  <c r="AP35"/>
  <c r="AY35"/>
  <c r="BB35" s="1"/>
  <c r="BF35" s="1"/>
  <c r="AP33"/>
  <c r="AY33"/>
  <c r="BB33" s="1"/>
  <c r="BF33" s="1"/>
  <c r="AP31"/>
  <c r="AT13" i="6" s="1"/>
  <c r="AY31" i="5"/>
  <c r="AP29"/>
  <c r="AY29"/>
  <c r="BB29" s="1"/>
  <c r="BF29" s="1"/>
  <c r="AP19"/>
  <c r="AT11" i="6" s="1"/>
  <c r="BA19" i="5"/>
  <c r="AP9"/>
  <c r="BA9"/>
  <c r="BB9" s="1"/>
  <c r="BF9" s="1"/>
  <c r="AP20"/>
  <c r="BA20"/>
  <c r="BB20" s="1"/>
  <c r="BF20" s="1"/>
  <c r="AP81"/>
  <c r="AY81"/>
  <c r="BB81" s="1"/>
  <c r="BF81" s="1"/>
  <c r="AP77"/>
  <c r="AY77"/>
  <c r="BB77" s="1"/>
  <c r="BF77" s="1"/>
  <c r="AP73"/>
  <c r="AY73"/>
  <c r="BB73" s="1"/>
  <c r="BF73" s="1"/>
  <c r="AP39"/>
  <c r="AT17" i="6" s="1"/>
  <c r="AY39" i="5"/>
  <c r="AP80"/>
  <c r="AT37" i="6" s="1"/>
  <c r="AY80" i="5"/>
  <c r="AP76"/>
  <c r="AT36" i="6" s="1"/>
  <c r="AY76" i="5"/>
  <c r="AP72"/>
  <c r="AT35" i="6" s="1"/>
  <c r="AY72" i="5"/>
  <c r="AP36"/>
  <c r="AT14" i="6" s="1"/>
  <c r="AY36" i="5"/>
  <c r="AH80"/>
  <c r="AP37" i="6" s="1"/>
  <c r="AH76" i="5"/>
  <c r="AP36" i="6" s="1"/>
  <c r="AH72" i="5"/>
  <c r="AP35" i="6" s="1"/>
  <c r="BB26" i="5"/>
  <c r="AH82"/>
  <c r="AP38" i="6" s="1"/>
  <c r="AH78" i="5"/>
  <c r="AM7"/>
  <c r="AY7" s="1"/>
  <c r="BB7" s="1"/>
  <c r="BF7" s="1"/>
  <c r="AE7"/>
  <c r="AH7" s="1"/>
  <c r="AD7"/>
  <c r="AL10" i="6" s="1"/>
  <c r="BR10" i="4"/>
  <c r="BR11"/>
  <c r="BR12"/>
  <c r="BR13"/>
  <c r="BR14"/>
  <c r="BR15"/>
  <c r="BR16"/>
  <c r="BR17"/>
  <c r="BR18"/>
  <c r="BR19"/>
  <c r="BR20"/>
  <c r="BR21"/>
  <c r="BR22"/>
  <c r="BR23"/>
  <c r="BR24"/>
  <c r="BR25"/>
  <c r="BR26"/>
  <c r="BR27"/>
  <c r="BR28"/>
  <c r="BR29"/>
  <c r="BR30"/>
  <c r="BR31"/>
  <c r="BR32"/>
  <c r="BR33"/>
  <c r="BR34"/>
  <c r="BR35"/>
  <c r="BR36"/>
  <c r="BR37"/>
  <c r="BR38"/>
  <c r="BR39"/>
  <c r="BR40"/>
  <c r="BR41"/>
  <c r="BT8"/>
  <c r="BU8"/>
  <c r="DF8"/>
  <c r="DH8"/>
  <c r="AJ5" i="6" l="1"/>
  <c r="AO5"/>
  <c r="AV5"/>
  <c r="G24" i="23"/>
  <c r="AY14" i="6"/>
  <c r="AY35"/>
  <c r="AY36"/>
  <c r="AY37"/>
  <c r="AY17"/>
  <c r="BB19" i="5"/>
  <c r="BA11" i="6"/>
  <c r="AY13"/>
  <c r="AY18"/>
  <c r="AY21"/>
  <c r="AY23"/>
  <c r="AY27"/>
  <c r="AY28"/>
  <c r="AY32"/>
  <c r="AY34"/>
  <c r="AY19"/>
  <c r="AY30"/>
  <c r="AP10"/>
  <c r="BA66" i="5"/>
  <c r="BA33" i="6" s="1"/>
  <c r="AS33"/>
  <c r="AZ67" i="5"/>
  <c r="AZ34" i="6" s="1"/>
  <c r="AR34"/>
  <c r="AW13"/>
  <c r="AW5" s="1"/>
  <c r="AW5" i="5"/>
  <c r="BA44"/>
  <c r="BA20" i="6" s="1"/>
  <c r="AS20"/>
  <c r="AZ45" i="5"/>
  <c r="AZ21" i="6" s="1"/>
  <c r="AR21"/>
  <c r="BA52" i="5"/>
  <c r="BA24" i="6" s="1"/>
  <c r="AS24"/>
  <c r="AZ53" i="5"/>
  <c r="AZ25" i="6" s="1"/>
  <c r="AR25"/>
  <c r="BA60" i="5"/>
  <c r="BA30" i="6" s="1"/>
  <c r="AS30"/>
  <c r="AQ10"/>
  <c r="AZ37" i="5"/>
  <c r="AZ15" i="6" s="1"/>
  <c r="AR15"/>
  <c r="BA38" i="5"/>
  <c r="BA16" i="6" s="1"/>
  <c r="AS16"/>
  <c r="AZ39" i="5"/>
  <c r="AZ17" i="6" s="1"/>
  <c r="AR17"/>
  <c r="AZ31" i="5"/>
  <c r="AZ13" i="6" s="1"/>
  <c r="AR13"/>
  <c r="AZ41" i="5"/>
  <c r="AZ18" i="6" s="1"/>
  <c r="AR18"/>
  <c r="BA42" i="5"/>
  <c r="BA19" i="6" s="1"/>
  <c r="AS19"/>
  <c r="AZ57" i="5"/>
  <c r="AZ28" i="6" s="1"/>
  <c r="AR28"/>
  <c r="BA58" i="5"/>
  <c r="BA29" i="6" s="1"/>
  <c r="AS29"/>
  <c r="BA62" i="5"/>
  <c r="BA31" i="6" s="1"/>
  <c r="AS31"/>
  <c r="AZ65" i="5"/>
  <c r="AZ32" i="6" s="1"/>
  <c r="AR32"/>
  <c r="BA37" i="5"/>
  <c r="BA15" i="6" s="1"/>
  <c r="AS15"/>
  <c r="AZ38" i="5"/>
  <c r="AZ16" i="6" s="1"/>
  <c r="AR16"/>
  <c r="BA39" i="5"/>
  <c r="BA17" i="6" s="1"/>
  <c r="AS17"/>
  <c r="AN23"/>
  <c r="AH47" i="5"/>
  <c r="AP23" i="6" s="1"/>
  <c r="AN27"/>
  <c r="AH55" i="5"/>
  <c r="AP27" i="6" s="1"/>
  <c r="BA65" i="5"/>
  <c r="BA32" i="6" s="1"/>
  <c r="AS32"/>
  <c r="AZ66" i="5"/>
  <c r="AZ33" i="6" s="1"/>
  <c r="AR33"/>
  <c r="AV5" i="5"/>
  <c r="AH39"/>
  <c r="AP17" i="6" s="1"/>
  <c r="AY22"/>
  <c r="AY24"/>
  <c r="BB66" i="5"/>
  <c r="AY33" i="6"/>
  <c r="BB38" i="5"/>
  <c r="AY16" i="6"/>
  <c r="AY38"/>
  <c r="BB37" i="5"/>
  <c r="AY15" i="6"/>
  <c r="Z5" i="5"/>
  <c r="AH25" i="6"/>
  <c r="BB12"/>
  <c r="BF26" i="5"/>
  <c r="BF12" i="6" s="1"/>
  <c r="AT28"/>
  <c r="AT32"/>
  <c r="AT34"/>
  <c r="AT22"/>
  <c r="AT24"/>
  <c r="AT30"/>
  <c r="AT33"/>
  <c r="AF5" i="5"/>
  <c r="AX53"/>
  <c r="AX67"/>
  <c r="AX34" i="6" s="1"/>
  <c r="AX72" i="5"/>
  <c r="AX35" i="6" s="1"/>
  <c r="AX76" i="5"/>
  <c r="AX36" i="6" s="1"/>
  <c r="AX80" i="5"/>
  <c r="AX37" i="6" s="1"/>
  <c r="AM10"/>
  <c r="AX54" i="5"/>
  <c r="AX66"/>
  <c r="AX33" i="6" s="1"/>
  <c r="AU48" i="5"/>
  <c r="AE48"/>
  <c r="AI26" i="6"/>
  <c r="AM48" i="5"/>
  <c r="AD48"/>
  <c r="AL26" i="6" s="1"/>
  <c r="BA53" i="5"/>
  <c r="BA25" i="6" s="1"/>
  <c r="AS25"/>
  <c r="AZ54" i="5"/>
  <c r="AZ26" i="6" s="1"/>
  <c r="AR26"/>
  <c r="AN34"/>
  <c r="AH67" i="5"/>
  <c r="AP34" i="6" s="1"/>
  <c r="BA72" i="5"/>
  <c r="BA35" i="6" s="1"/>
  <c r="AS35"/>
  <c r="AZ76" i="5"/>
  <c r="AZ36" i="6" s="1"/>
  <c r="AR36"/>
  <c r="AZ80" i="5"/>
  <c r="AZ37" i="6" s="1"/>
  <c r="AR37"/>
  <c r="BA82" i="5"/>
  <c r="BA38" i="6" s="1"/>
  <c r="AS38"/>
  <c r="BA31" i="5"/>
  <c r="BA13" i="6" s="1"/>
  <c r="AS13"/>
  <c r="AK5"/>
  <c r="BA41" i="5"/>
  <c r="BA18" i="6" s="1"/>
  <c r="AS18"/>
  <c r="AZ42" i="5"/>
  <c r="AZ19" i="6" s="1"/>
  <c r="AR19"/>
  <c r="AN21"/>
  <c r="AH45" i="5"/>
  <c r="AP21" i="6" s="1"/>
  <c r="AN25"/>
  <c r="AH53" i="5"/>
  <c r="BA57"/>
  <c r="BA28" i="6" s="1"/>
  <c r="AS28"/>
  <c r="AZ58" i="5"/>
  <c r="AR29" i="6"/>
  <c r="AZ62" i="5"/>
  <c r="AZ31" i="6" s="1"/>
  <c r="AR31"/>
  <c r="BA67" i="5"/>
  <c r="BA34" i="6" s="1"/>
  <c r="AS34"/>
  <c r="AZ72" i="5"/>
  <c r="AZ35" i="6" s="1"/>
  <c r="AR35"/>
  <c r="BA76" i="5"/>
  <c r="BA36" i="6" s="1"/>
  <c r="AS36"/>
  <c r="BA80" i="5"/>
  <c r="BA37" i="6" s="1"/>
  <c r="AS37"/>
  <c r="AZ82" i="5"/>
  <c r="AZ38" i="6" s="1"/>
  <c r="AR38"/>
  <c r="AU63" i="5"/>
  <c r="AI7" i="6"/>
  <c r="AE63" i="5"/>
  <c r="AD63"/>
  <c r="AL7" i="6" s="1"/>
  <c r="AM63" i="5"/>
  <c r="AH5" i="6"/>
  <c r="AH42" i="5"/>
  <c r="AP19" i="6" s="1"/>
  <c r="AH44" i="5"/>
  <c r="AP20" i="6" s="1"/>
  <c r="AH52" i="5"/>
  <c r="AP24" i="6" s="1"/>
  <c r="AH54" i="5"/>
  <c r="AH58"/>
  <c r="AP29" i="6" s="1"/>
  <c r="AH60" i="5"/>
  <c r="AP30" i="6" s="1"/>
  <c r="AH62" i="5"/>
  <c r="AP31" i="6" s="1"/>
  <c r="AH66" i="5"/>
  <c r="AP33" i="6" s="1"/>
  <c r="AU8" i="5"/>
  <c r="AM8"/>
  <c r="AE8"/>
  <c r="AD8"/>
  <c r="AL8" i="6" s="1"/>
  <c r="AI8"/>
  <c r="BB10"/>
  <c r="BF17" i="5"/>
  <c r="BF16"/>
  <c r="BF14"/>
  <c r="BB11"/>
  <c r="AY10" i="6"/>
  <c r="AZ36" i="5"/>
  <c r="AZ14" i="6" s="1"/>
  <c r="AR14"/>
  <c r="AN13"/>
  <c r="AH31" i="5"/>
  <c r="AP13" i="6" s="1"/>
  <c r="AN18"/>
  <c r="AH41" i="5"/>
  <c r="AP18" i="6" s="1"/>
  <c r="AZ44" i="5"/>
  <c r="AR20" i="6"/>
  <c r="BA45" i="5"/>
  <c r="BA21" i="6" s="1"/>
  <c r="AS21"/>
  <c r="AZ46" i="5"/>
  <c r="AZ22" i="6" s="1"/>
  <c r="AR22"/>
  <c r="BA47" i="5"/>
  <c r="BA23" i="6" s="1"/>
  <c r="AS23"/>
  <c r="AZ52" i="5"/>
  <c r="AZ24" i="6" s="1"/>
  <c r="AR24"/>
  <c r="BA55" i="5"/>
  <c r="BA27" i="6" s="1"/>
  <c r="AS27"/>
  <c r="AN28"/>
  <c r="AH57" i="5"/>
  <c r="AP28" i="6" s="1"/>
  <c r="AZ60" i="5"/>
  <c r="AZ30" i="6" s="1"/>
  <c r="AR30"/>
  <c r="AN32"/>
  <c r="AH65" i="5"/>
  <c r="AP32" i="6" s="1"/>
  <c r="AU27" i="5"/>
  <c r="AE27"/>
  <c r="AD27"/>
  <c r="AL9" i="6" s="1"/>
  <c r="AI9"/>
  <c r="AM27" i="5"/>
  <c r="BA36"/>
  <c r="BA14" i="6" s="1"/>
  <c r="AS14"/>
  <c r="BA46" i="5"/>
  <c r="BA22" i="6" s="1"/>
  <c r="AS22"/>
  <c r="AZ47" i="5"/>
  <c r="AZ23" i="6" s="1"/>
  <c r="AR23"/>
  <c r="BA54" i="5"/>
  <c r="BA26" i="6" s="1"/>
  <c r="AS26"/>
  <c r="AZ55" i="5"/>
  <c r="AZ27" i="6" s="1"/>
  <c r="AR27"/>
  <c r="AH36" i="5"/>
  <c r="AP14" i="6" s="1"/>
  <c r="BS40" i="4"/>
  <c r="BS38"/>
  <c r="BS36"/>
  <c r="BS34"/>
  <c r="BS32"/>
  <c r="BS30"/>
  <c r="BS28"/>
  <c r="BS26"/>
  <c r="BS24"/>
  <c r="BS22"/>
  <c r="BS20"/>
  <c r="BS18"/>
  <c r="BS16"/>
  <c r="BS14"/>
  <c r="BS12"/>
  <c r="BS41"/>
  <c r="BS39"/>
  <c r="BS37"/>
  <c r="BS35"/>
  <c r="BS33"/>
  <c r="BS31"/>
  <c r="BS29"/>
  <c r="BS27"/>
  <c r="BS25"/>
  <c r="BS23"/>
  <c r="BS21"/>
  <c r="BS19"/>
  <c r="BS17"/>
  <c r="BS15"/>
  <c r="BS13"/>
  <c r="BS11"/>
  <c r="BS10"/>
  <c r="BG7" i="5"/>
  <c r="BH7"/>
  <c r="BG34"/>
  <c r="BH34"/>
  <c r="BG73"/>
  <c r="BH73"/>
  <c r="BG77"/>
  <c r="BH77"/>
  <c r="BG81"/>
  <c r="BH81"/>
  <c r="BG20"/>
  <c r="BH20"/>
  <c r="BG9"/>
  <c r="BH9"/>
  <c r="BG29"/>
  <c r="BH29"/>
  <c r="BG33"/>
  <c r="BH33"/>
  <c r="BG35"/>
  <c r="BH35"/>
  <c r="BG43"/>
  <c r="BH43"/>
  <c r="BG49"/>
  <c r="BH49"/>
  <c r="BG51"/>
  <c r="BH51"/>
  <c r="BG53"/>
  <c r="BH53"/>
  <c r="BG59"/>
  <c r="BH59"/>
  <c r="BG61"/>
  <c r="BH61"/>
  <c r="BG69"/>
  <c r="BH69"/>
  <c r="BG71"/>
  <c r="BH71"/>
  <c r="BG28"/>
  <c r="BH28"/>
  <c r="BG30"/>
  <c r="BH30"/>
  <c r="BG32"/>
  <c r="BH32"/>
  <c r="BG40"/>
  <c r="BH40"/>
  <c r="BG50"/>
  <c r="BH50"/>
  <c r="BG56"/>
  <c r="BH56"/>
  <c r="BG64"/>
  <c r="BH64"/>
  <c r="BG68"/>
  <c r="BH68"/>
  <c r="BG70"/>
  <c r="BH70"/>
  <c r="BG74"/>
  <c r="BH74"/>
  <c r="BG75"/>
  <c r="BH75"/>
  <c r="BG79"/>
  <c r="BH79"/>
  <c r="BG83"/>
  <c r="BH83"/>
  <c r="BG78"/>
  <c r="BH78"/>
  <c r="BG26"/>
  <c r="BG12" i="6" s="1"/>
  <c r="BH26" i="5"/>
  <c r="BH12" i="6" s="1"/>
  <c r="AA5" i="5"/>
  <c r="AE12"/>
  <c r="AM25" i="6" s="1"/>
  <c r="AD12" i="5"/>
  <c r="AU12"/>
  <c r="AU25" i="6" s="1"/>
  <c r="AM12" i="5"/>
  <c r="AQ25" i="6" s="1"/>
  <c r="AP7" i="5"/>
  <c r="AT10" i="6" s="1"/>
  <c r="BR8" i="4"/>
  <c r="DG8"/>
  <c r="E8"/>
  <c r="F8"/>
  <c r="G8"/>
  <c r="H8"/>
  <c r="L8"/>
  <c r="Q8"/>
  <c r="CU9" s="1"/>
  <c r="R8"/>
  <c r="S8"/>
  <c r="D8"/>
  <c r="AN5" i="6" l="1"/>
  <c r="BA5"/>
  <c r="AR5"/>
  <c r="G52" i="23"/>
  <c r="G25"/>
  <c r="BA5" i="5"/>
  <c r="AQ9" i="6"/>
  <c r="AP27" i="5"/>
  <c r="AT9" i="6" s="1"/>
  <c r="AY27" i="5"/>
  <c r="AX27"/>
  <c r="AX9" i="6" s="1"/>
  <c r="AU9"/>
  <c r="AZ20"/>
  <c r="BB44" i="5"/>
  <c r="BH16"/>
  <c r="BG16"/>
  <c r="BF10" i="6"/>
  <c r="BH17" i="5"/>
  <c r="BH10" i="6" s="1"/>
  <c r="BG17" i="5"/>
  <c r="BG10" i="6" s="1"/>
  <c r="AH8" i="5"/>
  <c r="AP8" i="6" s="1"/>
  <c r="AM8"/>
  <c r="AX8" i="5"/>
  <c r="AX8" i="6" s="1"/>
  <c r="AU8"/>
  <c r="AP63" i="5"/>
  <c r="AT7" i="6" s="1"/>
  <c r="AQ7"/>
  <c r="AY63" i="5"/>
  <c r="AH63"/>
  <c r="AP7" i="6" s="1"/>
  <c r="AM7"/>
  <c r="AX63" i="5"/>
  <c r="AX7" i="6" s="1"/>
  <c r="AU7"/>
  <c r="AZ29"/>
  <c r="BB58" i="5"/>
  <c r="AS5" i="6"/>
  <c r="AQ26"/>
  <c r="AP48" i="5"/>
  <c r="AT26" i="6" s="1"/>
  <c r="AY48" i="5"/>
  <c r="AH48"/>
  <c r="AM26" i="6"/>
  <c r="BB62" i="5"/>
  <c r="BB46"/>
  <c r="AZ5"/>
  <c r="BB60"/>
  <c r="BB42"/>
  <c r="BB67"/>
  <c r="BB65"/>
  <c r="BB57"/>
  <c r="BB55"/>
  <c r="BB53"/>
  <c r="BB47"/>
  <c r="BB45"/>
  <c r="BB41"/>
  <c r="BB31"/>
  <c r="BB11" i="6"/>
  <c r="BF19" i="5"/>
  <c r="BB39"/>
  <c r="BB80"/>
  <c r="BB76"/>
  <c r="BB72"/>
  <c r="BB36"/>
  <c r="AD5"/>
  <c r="AL25" i="6"/>
  <c r="AM9"/>
  <c r="AH27" i="5"/>
  <c r="AP9" i="6" s="1"/>
  <c r="BF11" i="5"/>
  <c r="BH14"/>
  <c r="BG14"/>
  <c r="AY8"/>
  <c r="AQ8" i="6"/>
  <c r="AP8" i="5"/>
  <c r="AT8" i="6" s="1"/>
  <c r="AP26"/>
  <c r="AL5"/>
  <c r="AI5"/>
  <c r="AX48" i="5"/>
  <c r="AU26" i="6"/>
  <c r="AX26"/>
  <c r="BB52" i="5"/>
  <c r="BB15" i="6"/>
  <c r="BF37" i="5"/>
  <c r="BB82"/>
  <c r="BB16" i="6"/>
  <c r="BF38" i="5"/>
  <c r="BB33" i="6"/>
  <c r="BF66" i="5"/>
  <c r="BB54"/>
  <c r="BS8" i="4"/>
  <c r="K8"/>
  <c r="AY12" i="5"/>
  <c r="AY25" i="6" s="1"/>
  <c r="AM5" i="5"/>
  <c r="AP12"/>
  <c r="AX12"/>
  <c r="AX5" s="1"/>
  <c r="AU5"/>
  <c r="AE5"/>
  <c r="AH12"/>
  <c r="AH5" s="1"/>
  <c r="T8" i="4"/>
  <c r="AZ5" i="6" l="1"/>
  <c r="BB14"/>
  <c r="BF36" i="5"/>
  <c r="BB36" i="6"/>
  <c r="BF76" i="5"/>
  <c r="BB17" i="6"/>
  <c r="BF39" i="5"/>
  <c r="BB18" i="6"/>
  <c r="BF41" i="5"/>
  <c r="BB23" i="6"/>
  <c r="BF47" i="5"/>
  <c r="BB27" i="6"/>
  <c r="BF55" i="5"/>
  <c r="BB32" i="6"/>
  <c r="BF65" i="5"/>
  <c r="BB19" i="6"/>
  <c r="BF42" i="5"/>
  <c r="BB31" i="6"/>
  <c r="BF62" i="5"/>
  <c r="AQ5" i="6"/>
  <c r="BB20"/>
  <c r="BF44" i="5"/>
  <c r="BB27"/>
  <c r="AY9" i="6"/>
  <c r="BF54" i="5"/>
  <c r="BF15" i="6"/>
  <c r="BG37" i="5"/>
  <c r="BG15" i="6" s="1"/>
  <c r="BH37" i="5"/>
  <c r="BH15" i="6" s="1"/>
  <c r="BB24"/>
  <c r="BF52" i="5"/>
  <c r="AP5"/>
  <c r="AT25" i="6"/>
  <c r="BF33"/>
  <c r="BG66" i="5"/>
  <c r="BG33" i="6" s="1"/>
  <c r="BH66" i="5"/>
  <c r="BH33" i="6" s="1"/>
  <c r="BF16"/>
  <c r="BG38" i="5"/>
  <c r="BG16" i="6" s="1"/>
  <c r="BH38" i="5"/>
  <c r="BH16" i="6" s="1"/>
  <c r="BB38"/>
  <c r="BF82" i="5"/>
  <c r="AX25" i="6"/>
  <c r="AX5" s="1"/>
  <c r="AP25"/>
  <c r="AP5" s="1"/>
  <c r="AY8"/>
  <c r="BB8" i="5"/>
  <c r="BH11"/>
  <c r="BG11"/>
  <c r="BB35" i="6"/>
  <c r="BF72" i="5"/>
  <c r="BB37" i="6"/>
  <c r="BF80" i="5"/>
  <c r="BF11" i="6"/>
  <c r="BH19" i="5"/>
  <c r="BH11" i="6" s="1"/>
  <c r="BG19" i="5"/>
  <c r="BG11" i="6" s="1"/>
  <c r="BB13"/>
  <c r="BF31" i="5"/>
  <c r="BB21" i="6"/>
  <c r="BF45" i="5"/>
  <c r="BB28" i="6"/>
  <c r="BF57" i="5"/>
  <c r="BB34" i="6"/>
  <c r="BF67" i="5"/>
  <c r="BB30" i="6"/>
  <c r="BF60" i="5"/>
  <c r="BB22" i="6"/>
  <c r="BF46" i="5"/>
  <c r="BB48"/>
  <c r="BF48" s="1"/>
  <c r="AY26" i="6"/>
  <c r="BB29"/>
  <c r="BF58" i="5"/>
  <c r="AU5" i="6"/>
  <c r="AM5"/>
  <c r="BB63" i="5"/>
  <c r="AY7" i="6"/>
  <c r="AY5" s="1"/>
  <c r="AT5"/>
  <c r="AY5" i="5"/>
  <c r="BB12"/>
  <c r="BF12" s="1"/>
  <c r="BF25" i="6" s="1"/>
  <c r="AE8" i="4"/>
  <c r="BF22" i="6" l="1"/>
  <c r="BG46" i="5"/>
  <c r="BG22" i="6" s="1"/>
  <c r="BH46" i="5"/>
  <c r="BH22" i="6" s="1"/>
  <c r="BF30"/>
  <c r="BG60" i="5"/>
  <c r="BG30" i="6" s="1"/>
  <c r="BH60" i="5"/>
  <c r="BH30" i="6" s="1"/>
  <c r="BF34"/>
  <c r="BG67" i="5"/>
  <c r="BG34" i="6" s="1"/>
  <c r="BH67" i="5"/>
  <c r="BH34" i="6" s="1"/>
  <c r="BF28"/>
  <c r="BG57" i="5"/>
  <c r="BG28" i="6" s="1"/>
  <c r="BH57" i="5"/>
  <c r="BH28" i="6" s="1"/>
  <c r="BB25"/>
  <c r="BF37"/>
  <c r="BH80" i="5"/>
  <c r="BH37" i="6" s="1"/>
  <c r="BG80" i="5"/>
  <c r="BG37" i="6" s="1"/>
  <c r="BF35"/>
  <c r="BH72" i="5"/>
  <c r="BH35" i="6" s="1"/>
  <c r="BG72" i="5"/>
  <c r="BG35" i="6" s="1"/>
  <c r="BF8" i="5"/>
  <c r="BB8" i="6"/>
  <c r="BF38"/>
  <c r="BH82" i="5"/>
  <c r="BH38" i="6" s="1"/>
  <c r="BG82" i="5"/>
  <c r="BG38" i="6" s="1"/>
  <c r="BF24"/>
  <c r="BH52" i="5"/>
  <c r="BH24" i="6" s="1"/>
  <c r="BG52" i="5"/>
  <c r="BG24" i="6" s="1"/>
  <c r="BB26"/>
  <c r="BF27" i="5"/>
  <c r="BB9" i="6"/>
  <c r="BF29"/>
  <c r="BH58" i="5"/>
  <c r="BH29" i="6" s="1"/>
  <c r="BG58" i="5"/>
  <c r="BG29" i="6" s="1"/>
  <c r="BF63" i="5"/>
  <c r="BB7" i="6"/>
  <c r="BB5" s="1"/>
  <c r="BG48" i="5"/>
  <c r="BH48"/>
  <c r="BF21" i="6"/>
  <c r="BH45" i="5"/>
  <c r="BH21" i="6" s="1"/>
  <c r="BG45" i="5"/>
  <c r="BG21" i="6" s="1"/>
  <c r="BF13"/>
  <c r="BH31" i="5"/>
  <c r="BH13" i="6" s="1"/>
  <c r="BG31" i="5"/>
  <c r="BG13" i="6" s="1"/>
  <c r="BF26"/>
  <c r="BG54" i="5"/>
  <c r="BG26" i="6" s="1"/>
  <c r="BH54" i="5"/>
  <c r="BH26" i="6" s="1"/>
  <c r="BF20"/>
  <c r="BH44" i="5"/>
  <c r="BH20" i="6" s="1"/>
  <c r="BG44" i="5"/>
  <c r="BG20" i="6" s="1"/>
  <c r="BF31"/>
  <c r="BH62" i="5"/>
  <c r="BH31" i="6" s="1"/>
  <c r="BG62" i="5"/>
  <c r="BG31" i="6" s="1"/>
  <c r="BF19"/>
  <c r="BG42" i="5"/>
  <c r="BG19" i="6" s="1"/>
  <c r="BH42" i="5"/>
  <c r="BH19" i="6" s="1"/>
  <c r="BF32"/>
  <c r="BG65" i="5"/>
  <c r="BG32" i="6" s="1"/>
  <c r="BH65" i="5"/>
  <c r="BH32" i="6" s="1"/>
  <c r="BF27"/>
  <c r="BG55" i="5"/>
  <c r="BG27" i="6" s="1"/>
  <c r="BH55" i="5"/>
  <c r="BH27" i="6" s="1"/>
  <c r="BF23"/>
  <c r="BH47" i="5"/>
  <c r="BH23" i="6" s="1"/>
  <c r="BG47" i="5"/>
  <c r="BG23" i="6" s="1"/>
  <c r="BF18"/>
  <c r="BH41" i="5"/>
  <c r="BH18" i="6" s="1"/>
  <c r="BG41" i="5"/>
  <c r="BG18" i="6" s="1"/>
  <c r="BF17"/>
  <c r="BH39" i="5"/>
  <c r="BH17" i="6" s="1"/>
  <c r="BG39" i="5"/>
  <c r="BG17" i="6" s="1"/>
  <c r="BF36"/>
  <c r="BH76" i="5"/>
  <c r="BH36" i="6" s="1"/>
  <c r="BG76" i="5"/>
  <c r="BG36" i="6" s="1"/>
  <c r="BF14"/>
  <c r="BH36" i="5"/>
  <c r="BH14" i="6" s="1"/>
  <c r="BG36" i="5"/>
  <c r="BG14" i="6" s="1"/>
  <c r="BB5" i="5"/>
  <c r="O14" i="4"/>
  <c r="O24"/>
  <c r="O38"/>
  <c r="O11"/>
  <c r="O23"/>
  <c r="O37"/>
  <c r="CS23" l="1"/>
  <c r="CS38"/>
  <c r="CS14"/>
  <c r="CS37"/>
  <c r="CS11"/>
  <c r="CS24"/>
  <c r="BH27" i="5"/>
  <c r="BH9" i="6" s="1"/>
  <c r="BG27" i="5"/>
  <c r="BG9" i="6" s="1"/>
  <c r="BF9"/>
  <c r="BG63" i="5"/>
  <c r="BG7" i="6" s="1"/>
  <c r="BH63" i="5"/>
  <c r="BH7" i="6" s="1"/>
  <c r="BF7"/>
  <c r="BG8" i="5"/>
  <c r="BG8" i="6" s="1"/>
  <c r="BH8" i="5"/>
  <c r="BH8" i="6" s="1"/>
  <c r="BF8"/>
  <c r="BG12" i="5"/>
  <c r="BH12"/>
  <c r="BF5"/>
  <c r="BH5" l="1"/>
  <c r="BH25" i="6"/>
  <c r="BH5" s="1"/>
  <c r="BG5" i="5"/>
  <c r="BG25" i="6"/>
  <c r="BG5" s="1"/>
  <c r="BF5"/>
  <c r="U24" i="4"/>
  <c r="AB24" s="1"/>
  <c r="U14"/>
  <c r="AB14" s="1"/>
  <c r="U11"/>
  <c r="AB11" s="1"/>
  <c r="U38"/>
  <c r="AB38" s="1"/>
  <c r="U37"/>
  <c r="AB37" s="1"/>
  <c r="U23"/>
  <c r="AB23" s="1"/>
  <c r="V11" l="1"/>
  <c r="AC11" s="1"/>
  <c r="V24"/>
  <c r="AC24" s="1"/>
  <c r="V37"/>
  <c r="AC37" s="1"/>
  <c r="V14"/>
  <c r="AC14" s="1"/>
  <c r="V38"/>
  <c r="AC38" s="1"/>
  <c r="V23"/>
  <c r="AC23" s="1"/>
  <c r="W37" l="1"/>
  <c r="W38"/>
  <c r="W23"/>
  <c r="W14"/>
  <c r="W11"/>
  <c r="W24"/>
  <c r="I8" l="1"/>
  <c r="J8" l="1"/>
  <c r="N15" l="1"/>
  <c r="N27"/>
  <c r="N22"/>
  <c r="N19"/>
  <c r="N31"/>
  <c r="N18"/>
  <c r="N26"/>
  <c r="N34"/>
  <c r="N17"/>
  <c r="N25"/>
  <c r="N33"/>
  <c r="N16"/>
  <c r="N28"/>
  <c r="N36"/>
  <c r="N12"/>
  <c r="N35"/>
  <c r="N30"/>
  <c r="N41"/>
  <c r="N21"/>
  <c r="N29"/>
  <c r="N40"/>
  <c r="N20"/>
  <c r="N32"/>
  <c r="N39"/>
  <c r="U13"/>
  <c r="AB13" s="1"/>
  <c r="M8"/>
  <c r="O4" s="1"/>
  <c r="N10"/>
  <c r="G8" i="23" l="1"/>
  <c r="C7" i="24"/>
  <c r="U22" i="4"/>
  <c r="AB22" s="1"/>
  <c r="U32"/>
  <c r="AB32" s="1"/>
  <c r="U40"/>
  <c r="AB40" s="1"/>
  <c r="U21"/>
  <c r="AB21" s="1"/>
  <c r="U30"/>
  <c r="AB30" s="1"/>
  <c r="U12"/>
  <c r="AB12" s="1"/>
  <c r="O28"/>
  <c r="U33"/>
  <c r="AB33" s="1"/>
  <c r="U17"/>
  <c r="AB17" s="1"/>
  <c r="U26"/>
  <c r="AB26" s="1"/>
  <c r="U31"/>
  <c r="AB31" s="1"/>
  <c r="O22"/>
  <c r="U15"/>
  <c r="AB15" s="1"/>
  <c r="U39"/>
  <c r="AB39" s="1"/>
  <c r="U20"/>
  <c r="AB20" s="1"/>
  <c r="U29"/>
  <c r="AB29" s="1"/>
  <c r="U41"/>
  <c r="AB41" s="1"/>
  <c r="U35"/>
  <c r="AB35" s="1"/>
  <c r="U36"/>
  <c r="AB36" s="1"/>
  <c r="U16"/>
  <c r="AB16" s="1"/>
  <c r="U25"/>
  <c r="AB25" s="1"/>
  <c r="U34"/>
  <c r="AB34" s="1"/>
  <c r="U18"/>
  <c r="AB18" s="1"/>
  <c r="U19"/>
  <c r="AB19" s="1"/>
  <c r="U27"/>
  <c r="AB27" s="1"/>
  <c r="O17"/>
  <c r="O21"/>
  <c r="U28"/>
  <c r="AB28" s="1"/>
  <c r="O15"/>
  <c r="O33"/>
  <c r="O30"/>
  <c r="O18"/>
  <c r="O27"/>
  <c r="O19"/>
  <c r="O34"/>
  <c r="O16"/>
  <c r="O41"/>
  <c r="O26"/>
  <c r="O31"/>
  <c r="O36"/>
  <c r="O20"/>
  <c r="O25"/>
  <c r="O35"/>
  <c r="N8"/>
  <c r="U10"/>
  <c r="AB10" s="1"/>
  <c r="V17"/>
  <c r="AC17" s="1"/>
  <c r="O39"/>
  <c r="O32"/>
  <c r="O29"/>
  <c r="O12"/>
  <c r="O40"/>
  <c r="O13"/>
  <c r="P8"/>
  <c r="O10"/>
  <c r="CM15" l="1"/>
  <c r="CS25"/>
  <c r="CS36"/>
  <c r="CS26"/>
  <c r="CS16"/>
  <c r="CS18"/>
  <c r="CS33"/>
  <c r="CS17"/>
  <c r="CS22"/>
  <c r="CS40"/>
  <c r="CS29"/>
  <c r="CS39"/>
  <c r="CS35"/>
  <c r="CS20"/>
  <c r="CS31"/>
  <c r="CS41"/>
  <c r="CS34"/>
  <c r="CS27"/>
  <c r="CS30"/>
  <c r="CS15"/>
  <c r="CS21"/>
  <c r="CS28"/>
  <c r="CS13"/>
  <c r="CS12"/>
  <c r="CS32"/>
  <c r="CS19"/>
  <c r="CS10"/>
  <c r="G10" i="23"/>
  <c r="G12"/>
  <c r="G9"/>
  <c r="C11" i="24"/>
  <c r="C10"/>
  <c r="V22" i="4"/>
  <c r="AC22" s="1"/>
  <c r="V28"/>
  <c r="AC28" s="1"/>
  <c r="V35"/>
  <c r="AC35" s="1"/>
  <c r="V20"/>
  <c r="AC20" s="1"/>
  <c r="V31"/>
  <c r="AC31" s="1"/>
  <c r="V41"/>
  <c r="V34"/>
  <c r="AC34" s="1"/>
  <c r="V18"/>
  <c r="AC18" s="1"/>
  <c r="V33"/>
  <c r="AC33" s="1"/>
  <c r="V25"/>
  <c r="AC25" s="1"/>
  <c r="V36"/>
  <c r="AC36" s="1"/>
  <c r="V26"/>
  <c r="AC26" s="1"/>
  <c r="V16"/>
  <c r="AC16" s="1"/>
  <c r="V19"/>
  <c r="AC19" s="1"/>
  <c r="V27"/>
  <c r="AC27" s="1"/>
  <c r="V30"/>
  <c r="AC30" s="1"/>
  <c r="V15"/>
  <c r="AC15" s="1"/>
  <c r="CN15" s="1"/>
  <c r="V21"/>
  <c r="W21" s="1"/>
  <c r="U8"/>
  <c r="W17"/>
  <c r="V40"/>
  <c r="AC40" s="1"/>
  <c r="V29"/>
  <c r="AC29" s="1"/>
  <c r="V39"/>
  <c r="AC39" s="1"/>
  <c r="O8"/>
  <c r="V10"/>
  <c r="AC10" s="1"/>
  <c r="V13"/>
  <c r="AC13" s="1"/>
  <c r="V12"/>
  <c r="AC12" s="1"/>
  <c r="V32"/>
  <c r="AC32" s="1"/>
  <c r="AC41" l="1"/>
  <c r="G11" i="23" s="1"/>
  <c r="G13"/>
  <c r="W22" i="4"/>
  <c r="W36"/>
  <c r="AC21"/>
  <c r="CO15"/>
  <c r="W27"/>
  <c r="W31"/>
  <c r="W34"/>
  <c r="W19"/>
  <c r="W18"/>
  <c r="W25"/>
  <c r="W30"/>
  <c r="W20"/>
  <c r="W26"/>
  <c r="W28"/>
  <c r="W41"/>
  <c r="W15"/>
  <c r="W16"/>
  <c r="W33"/>
  <c r="W35"/>
  <c r="CS8"/>
  <c r="CS9" s="1"/>
  <c r="W32"/>
  <c r="W39"/>
  <c r="W40"/>
  <c r="W12"/>
  <c r="W13"/>
  <c r="W29"/>
  <c r="V8"/>
  <c r="W10"/>
  <c r="W8" l="1"/>
  <c r="CM16" l="1"/>
  <c r="CM37"/>
  <c r="CN16" l="1"/>
  <c r="CN37"/>
  <c r="CP15"/>
  <c r="CM23"/>
  <c r="CM26"/>
  <c r="CM34"/>
  <c r="CM20"/>
  <c r="CM33"/>
  <c r="CM14"/>
  <c r="CM11"/>
  <c r="CM24"/>
  <c r="CM36"/>
  <c r="CM39"/>
  <c r="CM30"/>
  <c r="CM35"/>
  <c r="CM29"/>
  <c r="CM28"/>
  <c r="CM41"/>
  <c r="CM21"/>
  <c r="CM32"/>
  <c r="CM12"/>
  <c r="CM27"/>
  <c r="CM25"/>
  <c r="CM38"/>
  <c r="CM18"/>
  <c r="CM31"/>
  <c r="CM40"/>
  <c r="CM22"/>
  <c r="CM19"/>
  <c r="CM17"/>
  <c r="CM10"/>
  <c r="AD27"/>
  <c r="AD21"/>
  <c r="AC8"/>
  <c r="AD10"/>
  <c r="AD12"/>
  <c r="CO16" l="1"/>
  <c r="CO37"/>
  <c r="CP10"/>
  <c r="CX15"/>
  <c r="CP19"/>
  <c r="CP22"/>
  <c r="CP31"/>
  <c r="CP38"/>
  <c r="CP27"/>
  <c r="CP32"/>
  <c r="CP41"/>
  <c r="CP29"/>
  <c r="CP30"/>
  <c r="CP36"/>
  <c r="CP11"/>
  <c r="CP33"/>
  <c r="CP37"/>
  <c r="CP17"/>
  <c r="CP16"/>
  <c r="CP40"/>
  <c r="CP18"/>
  <c r="CP25"/>
  <c r="CP12"/>
  <c r="CP21"/>
  <c r="CP28"/>
  <c r="CP35"/>
  <c r="CP39"/>
  <c r="CP24"/>
  <c r="CP14"/>
  <c r="CP20"/>
  <c r="CP23"/>
  <c r="CQ15"/>
  <c r="CP34"/>
  <c r="CP26"/>
  <c r="CN39"/>
  <c r="CN36"/>
  <c r="CN14"/>
  <c r="CN23"/>
  <c r="CN34"/>
  <c r="CN19"/>
  <c r="CN18"/>
  <c r="CN25"/>
  <c r="CN21"/>
  <c r="CN28"/>
  <c r="CN29"/>
  <c r="CN30"/>
  <c r="CN24"/>
  <c r="CN26"/>
  <c r="CN33"/>
  <c r="CN20"/>
  <c r="CN31"/>
  <c r="CN17"/>
  <c r="CN40"/>
  <c r="CN38"/>
  <c r="CN27"/>
  <c r="CN32"/>
  <c r="CN41"/>
  <c r="CN35"/>
  <c r="CN11"/>
  <c r="CN22"/>
  <c r="CN12"/>
  <c r="CN10"/>
  <c r="AD25"/>
  <c r="AD31"/>
  <c r="AD18"/>
  <c r="AD30"/>
  <c r="AD38"/>
  <c r="AD41"/>
  <c r="AD16"/>
  <c r="AD34"/>
  <c r="AD33"/>
  <c r="AD28"/>
  <c r="AD23"/>
  <c r="AD24"/>
  <c r="AD22"/>
  <c r="AD37"/>
  <c r="AD36"/>
  <c r="AD32"/>
  <c r="AD35"/>
  <c r="AD29"/>
  <c r="C17" i="24" s="1"/>
  <c r="AD26" i="4"/>
  <c r="AD19"/>
  <c r="AD15"/>
  <c r="AD14"/>
  <c r="AD40"/>
  <c r="AD17"/>
  <c r="AD20"/>
  <c r="AD39"/>
  <c r="CX23" l="1"/>
  <c r="CR15"/>
  <c r="CX26"/>
  <c r="CY15"/>
  <c r="CZ15" s="1"/>
  <c r="CX14"/>
  <c r="CX39"/>
  <c r="CX28"/>
  <c r="CX12"/>
  <c r="CX18"/>
  <c r="CX16"/>
  <c r="CX37"/>
  <c r="CX11"/>
  <c r="CX30"/>
  <c r="CX41"/>
  <c r="CX27"/>
  <c r="CX31"/>
  <c r="CX19"/>
  <c r="CX34"/>
  <c r="CX20"/>
  <c r="CX24"/>
  <c r="CX35"/>
  <c r="CX21"/>
  <c r="CX25"/>
  <c r="CX40"/>
  <c r="CX17"/>
  <c r="CX33"/>
  <c r="CX36"/>
  <c r="CX29"/>
  <c r="CX32"/>
  <c r="CX38"/>
  <c r="CX22"/>
  <c r="CX10"/>
  <c r="CO22"/>
  <c r="CO11"/>
  <c r="CO41"/>
  <c r="CO27"/>
  <c r="CO17"/>
  <c r="CO20"/>
  <c r="CO26"/>
  <c r="CO28"/>
  <c r="CO25"/>
  <c r="CO19"/>
  <c r="CO36"/>
  <c r="CO12"/>
  <c r="CO35"/>
  <c r="CO32"/>
  <c r="CO38"/>
  <c r="CO31"/>
  <c r="CO33"/>
  <c r="CO24"/>
  <c r="CO29"/>
  <c r="CO21"/>
  <c r="CO18"/>
  <c r="CO34"/>
  <c r="CO14"/>
  <c r="CO39"/>
  <c r="CO40"/>
  <c r="CO30"/>
  <c r="CO23"/>
  <c r="CQ10"/>
  <c r="CO10"/>
  <c r="CQ28"/>
  <c r="CQ25"/>
  <c r="CQ19"/>
  <c r="CQ14"/>
  <c r="CQ36"/>
  <c r="CQ12"/>
  <c r="CQ22"/>
  <c r="CQ37"/>
  <c r="CQ23"/>
  <c r="CQ35"/>
  <c r="CQ32"/>
  <c r="CQ38"/>
  <c r="CQ16"/>
  <c r="CQ31"/>
  <c r="CQ33"/>
  <c r="CQ24"/>
  <c r="CQ29"/>
  <c r="CQ21"/>
  <c r="CQ18"/>
  <c r="CQ34"/>
  <c r="CQ11"/>
  <c r="CQ39"/>
  <c r="CQ41"/>
  <c r="CQ27"/>
  <c r="CQ40"/>
  <c r="CQ17"/>
  <c r="CQ20"/>
  <c r="CQ26"/>
  <c r="CQ30"/>
  <c r="AD11"/>
  <c r="AB8"/>
  <c r="CG8"/>
  <c r="CG4" s="1"/>
  <c r="CR10" l="1"/>
  <c r="CY10"/>
  <c r="CR18"/>
  <c r="CY18"/>
  <c r="CZ18" s="1"/>
  <c r="CR21"/>
  <c r="CY21"/>
  <c r="CZ21" s="1"/>
  <c r="CR29"/>
  <c r="CY29"/>
  <c r="CZ29" s="1"/>
  <c r="CR24"/>
  <c r="CY24"/>
  <c r="CZ24" s="1"/>
  <c r="CR33"/>
  <c r="CY33"/>
  <c r="CZ33" s="1"/>
  <c r="CR31"/>
  <c r="CY31"/>
  <c r="CZ31" s="1"/>
  <c r="CR16"/>
  <c r="CY16"/>
  <c r="CZ16" s="1"/>
  <c r="CR38"/>
  <c r="CY38"/>
  <c r="CZ38" s="1"/>
  <c r="CR32"/>
  <c r="CY32"/>
  <c r="CZ32" s="1"/>
  <c r="CR35"/>
  <c r="CY35"/>
  <c r="CZ35" s="1"/>
  <c r="CR37"/>
  <c r="CY37"/>
  <c r="CZ37" s="1"/>
  <c r="CR12"/>
  <c r="CY12"/>
  <c r="CZ12" s="1"/>
  <c r="CR36"/>
  <c r="CY36"/>
  <c r="CZ36" s="1"/>
  <c r="CR23"/>
  <c r="CY23"/>
  <c r="CZ23" s="1"/>
  <c r="CR19"/>
  <c r="CY19"/>
  <c r="CZ19" s="1"/>
  <c r="CR25"/>
  <c r="CY25"/>
  <c r="CZ25" s="1"/>
  <c r="CR28"/>
  <c r="CY28"/>
  <c r="CZ28" s="1"/>
  <c r="CR30"/>
  <c r="CY30"/>
  <c r="CZ30" s="1"/>
  <c r="CR26"/>
  <c r="CY26"/>
  <c r="CZ26" s="1"/>
  <c r="CR20"/>
  <c r="CY20"/>
  <c r="CZ20" s="1"/>
  <c r="CR17"/>
  <c r="CY17"/>
  <c r="CZ17" s="1"/>
  <c r="CR40"/>
  <c r="CY40"/>
  <c r="CZ40" s="1"/>
  <c r="CR27"/>
  <c r="CY27"/>
  <c r="CZ27" s="1"/>
  <c r="CR41"/>
  <c r="CY41"/>
  <c r="CZ41" s="1"/>
  <c r="CR11"/>
  <c r="CY11"/>
  <c r="CR22"/>
  <c r="CY22"/>
  <c r="CZ22" s="1"/>
  <c r="CR39"/>
  <c r="CY39"/>
  <c r="CZ39" s="1"/>
  <c r="CR14"/>
  <c r="CY14"/>
  <c r="CZ14" s="1"/>
  <c r="CR34"/>
  <c r="CY34"/>
  <c r="CZ34" s="1"/>
  <c r="DE8"/>
  <c r="DI8"/>
  <c r="CZ10" l="1"/>
  <c r="CZ11"/>
  <c r="CL4"/>
  <c r="BV8" l="1"/>
  <c r="CM13" l="1"/>
  <c r="CI8"/>
  <c r="BR4" s="1"/>
  <c r="G40" i="23" l="1"/>
  <c r="CP13" i="4"/>
  <c r="CN13"/>
  <c r="CJ8"/>
  <c r="CM8"/>
  <c r="G41" i="23" l="1"/>
  <c r="CN8" i="4"/>
  <c r="CX13"/>
  <c r="CX8" s="1"/>
  <c r="CP8"/>
  <c r="CK8"/>
  <c r="DA8"/>
  <c r="DA3" s="1"/>
  <c r="CO13"/>
  <c r="CQ13"/>
  <c r="AD13"/>
  <c r="AD8" s="1"/>
  <c r="CO8" l="1"/>
  <c r="CQ8"/>
  <c r="CY13"/>
  <c r="CR13"/>
  <c r="CR8" s="1"/>
  <c r="CY8" l="1"/>
  <c r="CZ13"/>
  <c r="CZ8" s="1"/>
  <c r="CM3" l="1"/>
  <c r="CN3" s="1"/>
  <c r="BI19" l="1"/>
  <c r="BI17"/>
  <c r="BI34"/>
  <c r="BI18"/>
  <c r="BI20"/>
  <c r="BH34"/>
  <c r="BH19"/>
  <c r="BH18"/>
  <c r="BH20"/>
  <c r="BN27" l="1"/>
  <c r="BN34"/>
  <c r="BN20"/>
  <c r="BN19"/>
  <c r="BN18"/>
  <c r="BN17"/>
  <c r="BN16"/>
  <c r="BN13"/>
  <c r="G23" i="23" s="1"/>
  <c r="BJ15" i="4"/>
  <c r="BJ34"/>
  <c r="BJ24"/>
  <c r="BJ22"/>
  <c r="BJ20"/>
  <c r="BJ18"/>
  <c r="BJ16"/>
  <c r="BJ12"/>
  <c r="BJ33"/>
  <c r="BJ14"/>
  <c r="BJ23"/>
  <c r="BJ21"/>
  <c r="BJ19"/>
  <c r="BJ17"/>
  <c r="BJ38"/>
  <c r="BJ27"/>
  <c r="BJ35"/>
  <c r="BJ40"/>
  <c r="BJ41"/>
  <c r="BJ29"/>
  <c r="BJ11"/>
  <c r="BM34"/>
  <c r="BM20"/>
  <c r="BM19"/>
  <c r="BM18"/>
  <c r="BM17"/>
  <c r="BM16"/>
  <c r="BM13"/>
  <c r="G22" i="23" s="1"/>
  <c r="BM27" i="4"/>
  <c r="BJ30" l="1"/>
  <c r="BJ13"/>
  <c r="BJ26"/>
  <c r="BM12"/>
  <c r="BM8" s="1"/>
  <c r="AO8"/>
  <c r="BN12"/>
  <c r="BN8" s="1"/>
  <c r="AP8"/>
  <c r="BJ28"/>
  <c r="BJ32"/>
  <c r="BJ36"/>
  <c r="BJ39"/>
  <c r="BJ25"/>
  <c r="BJ37"/>
  <c r="BJ31"/>
  <c r="BJ10" l="1"/>
  <c r="G19" i="23" s="1"/>
  <c r="AL8" i="4"/>
  <c r="BH27"/>
  <c r="BH13"/>
  <c r="BH17"/>
  <c r="BH16"/>
  <c r="BJ8" l="1"/>
  <c r="BH12"/>
  <c r="BH8" s="1"/>
  <c r="AJ8"/>
  <c r="BI16"/>
  <c r="BI8" s="1"/>
  <c r="AK8"/>
  <c r="BL41"/>
  <c r="G18" i="23" s="1"/>
  <c r="BL37" i="4"/>
  <c r="BG14"/>
  <c r="BL14"/>
  <c r="BL23"/>
  <c r="BL21"/>
  <c r="BL19"/>
  <c r="BL17"/>
  <c r="BL38"/>
  <c r="BL39"/>
  <c r="BL31"/>
  <c r="BL28"/>
  <c r="BL15"/>
  <c r="BL26"/>
  <c r="BL34"/>
  <c r="BL33"/>
  <c r="BL29"/>
  <c r="BL25"/>
  <c r="BL24"/>
  <c r="BL22"/>
  <c r="BL20"/>
  <c r="BG18"/>
  <c r="BL18"/>
  <c r="BL12"/>
  <c r="BL16"/>
  <c r="BL30"/>
  <c r="BL13" l="1"/>
  <c r="BL40"/>
  <c r="BL32"/>
  <c r="BL11"/>
  <c r="BL36"/>
  <c r="BE14"/>
  <c r="BE39"/>
  <c r="BE20"/>
  <c r="BE15"/>
  <c r="BE19"/>
  <c r="BE24"/>
  <c r="BE21"/>
  <c r="BL10"/>
  <c r="BL27"/>
  <c r="BL35"/>
  <c r="BE17"/>
  <c r="BE34"/>
  <c r="BE23"/>
  <c r="BE13"/>
  <c r="BE18"/>
  <c r="BE29"/>
  <c r="BE12"/>
  <c r="BE40"/>
  <c r="BE10"/>
  <c r="BE26"/>
  <c r="BE16"/>
  <c r="BE22"/>
  <c r="BF15"/>
  <c r="BG34"/>
  <c r="BG22"/>
  <c r="BG40"/>
  <c r="BG11"/>
  <c r="BG21"/>
  <c r="BG17"/>
  <c r="BG30"/>
  <c r="BG24"/>
  <c r="BG20"/>
  <c r="BG26"/>
  <c r="BG32"/>
  <c r="BG41"/>
  <c r="BG23"/>
  <c r="BG19"/>
  <c r="BG15"/>
  <c r="BG37"/>
  <c r="BG33"/>
  <c r="BK41"/>
  <c r="BK35"/>
  <c r="BK19"/>
  <c r="BK23"/>
  <c r="BK31"/>
  <c r="BK18"/>
  <c r="BK22"/>
  <c r="BK34"/>
  <c r="BK29"/>
  <c r="BK17"/>
  <c r="BK21"/>
  <c r="BK14"/>
  <c r="BK28"/>
  <c r="BK30"/>
  <c r="BK20"/>
  <c r="BK24"/>
  <c r="BK26"/>
  <c r="BK15"/>
  <c r="BG31" l="1"/>
  <c r="BE31"/>
  <c r="AQ31"/>
  <c r="AR31" s="1"/>
  <c r="BG10"/>
  <c r="BE37"/>
  <c r="BE11"/>
  <c r="BE32"/>
  <c r="BE38"/>
  <c r="BE28"/>
  <c r="BE25"/>
  <c r="BK27"/>
  <c r="BK40"/>
  <c r="BK37"/>
  <c r="BK33"/>
  <c r="BK38"/>
  <c r="BK36"/>
  <c r="BG25"/>
  <c r="BG35"/>
  <c r="BG36"/>
  <c r="AQ22"/>
  <c r="AR22" s="1"/>
  <c r="AQ26"/>
  <c r="AR26" s="1"/>
  <c r="AG8"/>
  <c r="BL8"/>
  <c r="BO15"/>
  <c r="CV15" s="1"/>
  <c r="AN8"/>
  <c r="BE27"/>
  <c r="BE33"/>
  <c r="AQ33"/>
  <c r="AR33" s="1"/>
  <c r="BF38"/>
  <c r="BE30"/>
  <c r="AQ30"/>
  <c r="AR30" s="1"/>
  <c r="BE36"/>
  <c r="AQ36"/>
  <c r="AR36" s="1"/>
  <c r="BE35"/>
  <c r="AQ35"/>
  <c r="AR35" s="1"/>
  <c r="BE41"/>
  <c r="G51" i="23" s="1"/>
  <c r="AQ41" i="4"/>
  <c r="AR41" s="1"/>
  <c r="BK16"/>
  <c r="BK13"/>
  <c r="BK11"/>
  <c r="BK12"/>
  <c r="BK25"/>
  <c r="BK39"/>
  <c r="BK32"/>
  <c r="BG28"/>
  <c r="BG29"/>
  <c r="BG27"/>
  <c r="AQ40"/>
  <c r="AR40" s="1"/>
  <c r="AQ29"/>
  <c r="AR29" s="1"/>
  <c r="AQ18"/>
  <c r="AR18" s="1"/>
  <c r="AQ23"/>
  <c r="AR23" s="1"/>
  <c r="AQ34"/>
  <c r="AR34" s="1"/>
  <c r="AQ17"/>
  <c r="AR17" s="1"/>
  <c r="AQ21"/>
  <c r="AR21" s="1"/>
  <c r="AQ24"/>
  <c r="AR24" s="1"/>
  <c r="AQ19"/>
  <c r="AR19" s="1"/>
  <c r="AQ15"/>
  <c r="AR15" s="1"/>
  <c r="AQ20"/>
  <c r="AR20" s="1"/>
  <c r="AQ14"/>
  <c r="AR14" s="1"/>
  <c r="CW15" l="1"/>
  <c r="DB15" s="1"/>
  <c r="BW15"/>
  <c r="CH15" s="1"/>
  <c r="CL15" s="1"/>
  <c r="BE8"/>
  <c r="BG39"/>
  <c r="AQ39"/>
  <c r="AR39" s="1"/>
  <c r="BG16"/>
  <c r="AQ16"/>
  <c r="AR16" s="1"/>
  <c r="BG12"/>
  <c r="AQ12"/>
  <c r="AR12" s="1"/>
  <c r="AQ27"/>
  <c r="AR27" s="1"/>
  <c r="AT20"/>
  <c r="AT19"/>
  <c r="BG13"/>
  <c r="AQ13"/>
  <c r="AR13" s="1"/>
  <c r="BK10"/>
  <c r="G20" i="23" s="1"/>
  <c r="AM8" i="4"/>
  <c r="AQ25"/>
  <c r="AR25" s="1"/>
  <c r="AQ28"/>
  <c r="AR28" s="1"/>
  <c r="AQ38"/>
  <c r="AR38" s="1"/>
  <c r="AQ32"/>
  <c r="AR32" s="1"/>
  <c r="AQ11"/>
  <c r="AR11" s="1"/>
  <c r="AQ37"/>
  <c r="AR37" s="1"/>
  <c r="AI8"/>
  <c r="DC15" l="1"/>
  <c r="DP15" s="1"/>
  <c r="BK8"/>
  <c r="AT25"/>
  <c r="AT40"/>
  <c r="AT18"/>
  <c r="AT34"/>
  <c r="AT22"/>
  <c r="AT35"/>
  <c r="AT41"/>
  <c r="AT29"/>
  <c r="AT23"/>
  <c r="AT17"/>
  <c r="BD15"/>
  <c r="AT31"/>
  <c r="AT16" l="1"/>
  <c r="BC31"/>
  <c r="BF31"/>
  <c r="AT28"/>
  <c r="BC14"/>
  <c r="BF14"/>
  <c r="BC17"/>
  <c r="BF17"/>
  <c r="BC29"/>
  <c r="BF29"/>
  <c r="BC35"/>
  <c r="BF35"/>
  <c r="BC30"/>
  <c r="BF30"/>
  <c r="BO30" s="1"/>
  <c r="CV30" s="1"/>
  <c r="BC22"/>
  <c r="BF22"/>
  <c r="AT27"/>
  <c r="BC19"/>
  <c r="BF19"/>
  <c r="BC34"/>
  <c r="BF34"/>
  <c r="BC40"/>
  <c r="BF40"/>
  <c r="AT13"/>
  <c r="G44" i="23"/>
  <c r="AT11" i="4"/>
  <c r="BC26"/>
  <c r="BF26"/>
  <c r="BC24"/>
  <c r="BF24"/>
  <c r="BO24" s="1"/>
  <c r="CV24" s="1"/>
  <c r="BC23"/>
  <c r="BF23"/>
  <c r="BC41"/>
  <c r="BF41"/>
  <c r="BC36"/>
  <c r="BF36"/>
  <c r="BC33"/>
  <c r="BF33"/>
  <c r="BO33" s="1"/>
  <c r="CV33" s="1"/>
  <c r="BC20"/>
  <c r="BF20"/>
  <c r="BC21"/>
  <c r="BF21"/>
  <c r="BC18"/>
  <c r="BF18"/>
  <c r="G45" i="23" l="1"/>
  <c r="BO20" i="4"/>
  <c r="CV20" s="1"/>
  <c r="BD20"/>
  <c r="DK20"/>
  <c r="DO20" s="1"/>
  <c r="BD33"/>
  <c r="DK33"/>
  <c r="DO33" s="1"/>
  <c r="BD24"/>
  <c r="DK24"/>
  <c r="DO24" s="1"/>
  <c r="BD30"/>
  <c r="DK30"/>
  <c r="DO30" s="1"/>
  <c r="BD40"/>
  <c r="DK40"/>
  <c r="DO40" s="1"/>
  <c r="BD34"/>
  <c r="DK34"/>
  <c r="DO34" s="1"/>
  <c r="BD19"/>
  <c r="DK19"/>
  <c r="DO19" s="1"/>
  <c r="BD31"/>
  <c r="DK31"/>
  <c r="DO31" s="1"/>
  <c r="BD18"/>
  <c r="DK18"/>
  <c r="DO18" s="1"/>
  <c r="BD21"/>
  <c r="DK21"/>
  <c r="DO21" s="1"/>
  <c r="BD36"/>
  <c r="DK36"/>
  <c r="DO36" s="1"/>
  <c r="BD41"/>
  <c r="DK41"/>
  <c r="DO41" s="1"/>
  <c r="G53" i="23" s="1"/>
  <c r="BD23" i="4"/>
  <c r="DK23"/>
  <c r="DO23" s="1"/>
  <c r="BD26"/>
  <c r="DK26"/>
  <c r="DO26" s="1"/>
  <c r="BD22"/>
  <c r="DK22"/>
  <c r="DO22" s="1"/>
  <c r="BD35"/>
  <c r="DK35"/>
  <c r="DO35" s="1"/>
  <c r="BD29"/>
  <c r="DK29"/>
  <c r="DO29" s="1"/>
  <c r="BD17"/>
  <c r="DK17"/>
  <c r="DO17" s="1"/>
  <c r="BD14"/>
  <c r="DK14"/>
  <c r="DO14" s="1"/>
  <c r="BO21"/>
  <c r="BO36"/>
  <c r="BO40"/>
  <c r="BO34"/>
  <c r="BO19"/>
  <c r="BO22"/>
  <c r="BO35"/>
  <c r="BO29"/>
  <c r="BO17"/>
  <c r="BO14"/>
  <c r="BO31"/>
  <c r="BO18"/>
  <c r="BO41"/>
  <c r="BO23"/>
  <c r="BO26"/>
  <c r="CW30"/>
  <c r="DB30" s="1"/>
  <c r="BW30"/>
  <c r="CH30" s="1"/>
  <c r="CL30" s="1"/>
  <c r="CW20"/>
  <c r="DC20" s="1"/>
  <c r="DP20" s="1"/>
  <c r="CW33"/>
  <c r="DC33" s="1"/>
  <c r="DP33" s="1"/>
  <c r="BW33"/>
  <c r="CH33" s="1"/>
  <c r="CL33" s="1"/>
  <c r="CW24"/>
  <c r="DB24" s="1"/>
  <c r="BW24"/>
  <c r="CH24" s="1"/>
  <c r="CL24" s="1"/>
  <c r="BC38"/>
  <c r="AU8"/>
  <c r="BG38"/>
  <c r="G16" i="23" s="1"/>
  <c r="BC13" i="4"/>
  <c r="BF13"/>
  <c r="BC27"/>
  <c r="BF27"/>
  <c r="BC32"/>
  <c r="BF32"/>
  <c r="BC12"/>
  <c r="BF12"/>
  <c r="BC39"/>
  <c r="BF39"/>
  <c r="BC11"/>
  <c r="BF11"/>
  <c r="BC25"/>
  <c r="BF25"/>
  <c r="BC37"/>
  <c r="BF37"/>
  <c r="BC28"/>
  <c r="G14" i="23" s="1"/>
  <c r="BF28" i="4"/>
  <c r="BC16"/>
  <c r="BF16"/>
  <c r="BW20" l="1"/>
  <c r="CH20" s="1"/>
  <c r="CL20" s="1"/>
  <c r="G17" i="23"/>
  <c r="DC30" i="4"/>
  <c r="DP30" s="1"/>
  <c r="DB33"/>
  <c r="BD16"/>
  <c r="DK16"/>
  <c r="DO16" s="1"/>
  <c r="BD28"/>
  <c r="DK28"/>
  <c r="DO28" s="1"/>
  <c r="BD39"/>
  <c r="DK39"/>
  <c r="DO39" s="1"/>
  <c r="BD12"/>
  <c r="DK12"/>
  <c r="DO12" s="1"/>
  <c r="BD32"/>
  <c r="DK32"/>
  <c r="DO32" s="1"/>
  <c r="BD27"/>
  <c r="DK27"/>
  <c r="DO27" s="1"/>
  <c r="BD13"/>
  <c r="DK13"/>
  <c r="DO13" s="1"/>
  <c r="BD37"/>
  <c r="DK37"/>
  <c r="DO37" s="1"/>
  <c r="BD25"/>
  <c r="DK25"/>
  <c r="DO25" s="1"/>
  <c r="BD11"/>
  <c r="DK11"/>
  <c r="DO11" s="1"/>
  <c r="BD38"/>
  <c r="DK38"/>
  <c r="DO38" s="1"/>
  <c r="DC24"/>
  <c r="DP24" s="1"/>
  <c r="DB20"/>
  <c r="BW26"/>
  <c r="CH26" s="1"/>
  <c r="CL26" s="1"/>
  <c r="CV26"/>
  <c r="CW26" s="1"/>
  <c r="DB26" s="1"/>
  <c r="BW23"/>
  <c r="CH23" s="1"/>
  <c r="CL23" s="1"/>
  <c r="CV23"/>
  <c r="CW23" s="1"/>
  <c r="DB23" s="1"/>
  <c r="BW41"/>
  <c r="CV41"/>
  <c r="CW41" s="1"/>
  <c r="BW18"/>
  <c r="CH18" s="1"/>
  <c r="CL18" s="1"/>
  <c r="CV18"/>
  <c r="CW18" s="1"/>
  <c r="DB18" s="1"/>
  <c r="BW31"/>
  <c r="CH31" s="1"/>
  <c r="CL31" s="1"/>
  <c r="CV31"/>
  <c r="CW31" s="1"/>
  <c r="DC31" s="1"/>
  <c r="DP31" s="1"/>
  <c r="BW14"/>
  <c r="CH14" s="1"/>
  <c r="CL14" s="1"/>
  <c r="CV14"/>
  <c r="CW14" s="1"/>
  <c r="DB14" s="1"/>
  <c r="BW17"/>
  <c r="CH17" s="1"/>
  <c r="CL17" s="1"/>
  <c r="CV17"/>
  <c r="CW17" s="1"/>
  <c r="DB17" s="1"/>
  <c r="BW29"/>
  <c r="CH29" s="1"/>
  <c r="CL29" s="1"/>
  <c r="CV29"/>
  <c r="CW29" s="1"/>
  <c r="BW35"/>
  <c r="CH35" s="1"/>
  <c r="CL35" s="1"/>
  <c r="CV35"/>
  <c r="CW35" s="1"/>
  <c r="DB35" s="1"/>
  <c r="BW22"/>
  <c r="CH22" s="1"/>
  <c r="CL22" s="1"/>
  <c r="CV22"/>
  <c r="CW22" s="1"/>
  <c r="DB22" s="1"/>
  <c r="BW19"/>
  <c r="CH19" s="1"/>
  <c r="CL19" s="1"/>
  <c r="CV19"/>
  <c r="CW19" s="1"/>
  <c r="DB19" s="1"/>
  <c r="BW34"/>
  <c r="CH34" s="1"/>
  <c r="CL34" s="1"/>
  <c r="CV34"/>
  <c r="CW34" s="1"/>
  <c r="DB34" s="1"/>
  <c r="BW40"/>
  <c r="CH40" s="1"/>
  <c r="CL40" s="1"/>
  <c r="CV40"/>
  <c r="CW40" s="1"/>
  <c r="DB40" s="1"/>
  <c r="BW36"/>
  <c r="CH36" s="1"/>
  <c r="CL36" s="1"/>
  <c r="CV36"/>
  <c r="CW36" s="1"/>
  <c r="DB36" s="1"/>
  <c r="BW21"/>
  <c r="CH21" s="1"/>
  <c r="CL21" s="1"/>
  <c r="CV21"/>
  <c r="CW21" s="1"/>
  <c r="DB21" s="1"/>
  <c r="BO28"/>
  <c r="BO12"/>
  <c r="BO16"/>
  <c r="BO37"/>
  <c r="BO39"/>
  <c r="BO25"/>
  <c r="BO11"/>
  <c r="BO32"/>
  <c r="BO27"/>
  <c r="BO13"/>
  <c r="BG8"/>
  <c r="BO38"/>
  <c r="CV38" s="1"/>
  <c r="CH41" l="1"/>
  <c r="C15" i="24"/>
  <c r="DC29" i="4"/>
  <c r="DP29" s="1"/>
  <c r="DC14"/>
  <c r="DP14" s="1"/>
  <c r="DC26"/>
  <c r="DP26" s="1"/>
  <c r="DC18"/>
  <c r="DP18" s="1"/>
  <c r="DC40"/>
  <c r="DP40" s="1"/>
  <c r="DC22"/>
  <c r="DP22" s="1"/>
  <c r="DC19"/>
  <c r="DP19" s="1"/>
  <c r="DC23"/>
  <c r="DP23" s="1"/>
  <c r="DB29"/>
  <c r="DC34"/>
  <c r="DP34" s="1"/>
  <c r="DC17"/>
  <c r="DP17" s="1"/>
  <c r="DB31"/>
  <c r="DB41"/>
  <c r="DC41"/>
  <c r="DP41" s="1"/>
  <c r="DC36"/>
  <c r="DP36" s="1"/>
  <c r="DC21"/>
  <c r="DP21" s="1"/>
  <c r="BW13"/>
  <c r="CH13" s="1"/>
  <c r="CL13" s="1"/>
  <c r="CV13"/>
  <c r="CW13" s="1"/>
  <c r="BW27"/>
  <c r="CH27" s="1"/>
  <c r="CL27" s="1"/>
  <c r="CV27"/>
  <c r="CW27" s="1"/>
  <c r="DC27" s="1"/>
  <c r="DP27" s="1"/>
  <c r="BW32"/>
  <c r="CH32" s="1"/>
  <c r="CL32" s="1"/>
  <c r="CV32"/>
  <c r="CW32" s="1"/>
  <c r="BW11"/>
  <c r="CH11" s="1"/>
  <c r="CL11" s="1"/>
  <c r="CV11"/>
  <c r="CW11" s="1"/>
  <c r="DC11" s="1"/>
  <c r="DP11" s="1"/>
  <c r="BW25"/>
  <c r="CH25" s="1"/>
  <c r="CL25" s="1"/>
  <c r="CV25"/>
  <c r="CW25" s="1"/>
  <c r="DC25" s="1"/>
  <c r="DP25" s="1"/>
  <c r="BW39"/>
  <c r="CH39" s="1"/>
  <c r="CL39" s="1"/>
  <c r="CV39"/>
  <c r="CW39" s="1"/>
  <c r="DB39" s="1"/>
  <c r="BW37"/>
  <c r="CH37" s="1"/>
  <c r="CL37" s="1"/>
  <c r="CV37"/>
  <c r="CW37" s="1"/>
  <c r="DC37" s="1"/>
  <c r="DP37" s="1"/>
  <c r="BW16"/>
  <c r="CH16" s="1"/>
  <c r="CL16" s="1"/>
  <c r="CV16"/>
  <c r="CW16" s="1"/>
  <c r="BW12"/>
  <c r="CH12" s="1"/>
  <c r="CL12" s="1"/>
  <c r="CV12"/>
  <c r="CW12" s="1"/>
  <c r="DC12" s="1"/>
  <c r="DP12" s="1"/>
  <c r="BW28"/>
  <c r="CH28" s="1"/>
  <c r="CL28" s="1"/>
  <c r="CV28"/>
  <c r="CW28" s="1"/>
  <c r="DB28" s="1"/>
  <c r="DC35"/>
  <c r="DP35" s="1"/>
  <c r="CW38"/>
  <c r="DC38" s="1"/>
  <c r="DP38" s="1"/>
  <c r="BW38"/>
  <c r="CH38" s="1"/>
  <c r="CL38" s="1"/>
  <c r="CL41" l="1"/>
  <c r="G36" i="23"/>
  <c r="DB12" i="4"/>
  <c r="DC32"/>
  <c r="DP32" s="1"/>
  <c r="DB32"/>
  <c r="DB27"/>
  <c r="DC13"/>
  <c r="DP13" s="1"/>
  <c r="DB13"/>
  <c r="DC39"/>
  <c r="DP39" s="1"/>
  <c r="DB37"/>
  <c r="DB11"/>
  <c r="DB25"/>
  <c r="DC16"/>
  <c r="DP16" s="1"/>
  <c r="DB16"/>
  <c r="DC28"/>
  <c r="DP28" s="1"/>
  <c r="DB38"/>
  <c r="AH8"/>
  <c r="AQ10"/>
  <c r="AR10" s="1"/>
  <c r="AT10" s="1"/>
  <c r="G26" i="23" l="1"/>
  <c r="G27"/>
  <c r="AQ8" i="4"/>
  <c r="AR8" l="1"/>
  <c r="G43" i="23" l="1"/>
  <c r="BC10" i="4"/>
  <c r="AT8"/>
  <c r="BF10"/>
  <c r="G15" i="23" l="1"/>
  <c r="DK10" i="4"/>
  <c r="DO10" s="1"/>
  <c r="G49" i="23"/>
  <c r="BF8" i="4"/>
  <c r="BO10"/>
  <c r="G21" i="23" s="1"/>
  <c r="BC8" i="4"/>
  <c r="BD10"/>
  <c r="DK8" l="1"/>
  <c r="BD8"/>
  <c r="G50" i="23"/>
  <c r="G54" s="1"/>
  <c r="DO8" i="4"/>
  <c r="BW10"/>
  <c r="BW8" s="1"/>
  <c r="CV10"/>
  <c r="BO8"/>
  <c r="BO3" l="1"/>
  <c r="CH10"/>
  <c r="G28" i="23"/>
  <c r="CW10" i="4"/>
  <c r="C8" i="24" s="1"/>
  <c r="CV8" i="4"/>
  <c r="CH8" l="1"/>
  <c r="CL10"/>
  <c r="G37" i="23"/>
  <c r="G38" s="1"/>
  <c r="D8" i="24"/>
  <c r="CV9" i="4"/>
  <c r="CW8"/>
  <c r="DC10"/>
  <c r="DB10"/>
  <c r="G55" i="23" l="1"/>
  <c r="H38"/>
  <c r="C16" i="24"/>
  <c r="CL8" i="4"/>
  <c r="CL3" s="1"/>
  <c r="DC8"/>
  <c r="DP10"/>
  <c r="DB8"/>
  <c r="AE4"/>
  <c r="DP8" l="1"/>
  <c r="DP3" s="1"/>
  <c r="H55" i="23"/>
</calcChain>
</file>

<file path=xl/comments1.xml><?xml version="1.0" encoding="utf-8"?>
<comments xmlns="http://schemas.openxmlformats.org/spreadsheetml/2006/main">
  <authors>
    <author>Ильшат К. Саматов</author>
  </authors>
  <commentList>
    <comment ref="CG15" authorId="0">
      <text>
        <r>
          <rPr>
            <b/>
            <sz val="8"/>
            <color indexed="81"/>
            <rFont val="Tahoma"/>
            <family val="2"/>
            <charset val="204"/>
          </rPr>
          <t>Ильшат К. Саматов:</t>
        </r>
        <r>
          <rPr>
            <sz val="8"/>
            <color indexed="81"/>
            <rFont val="Tahoma"/>
            <family val="2"/>
            <charset val="204"/>
          </rPr>
          <t xml:space="preserve">
АРЕНДА РАЗНИЦА</t>
        </r>
      </text>
    </comment>
  </commentList>
</comments>
</file>

<file path=xl/comments2.xml><?xml version="1.0" encoding="utf-8"?>
<comments xmlns="http://schemas.openxmlformats.org/spreadsheetml/2006/main">
  <authors>
    <author>RAIFO</author>
    <author>Ильшат К. Саматов</author>
  </authors>
  <commentList>
    <comment ref="H3" authorId="0">
      <text>
        <r>
          <rPr>
            <b/>
            <sz val="8"/>
            <color indexed="81"/>
            <rFont val="Tahoma"/>
            <family val="2"/>
            <charset val="204"/>
          </rPr>
          <t>RAIFO:</t>
        </r>
        <r>
          <rPr>
            <sz val="8"/>
            <color indexed="81"/>
            <rFont val="Tahoma"/>
            <family val="2"/>
            <charset val="204"/>
          </rPr>
          <t xml:space="preserve">
необходимо ввести потребность на год в газе в куб.метрах</t>
        </r>
      </text>
    </comment>
    <comment ref="I3" authorId="0">
      <text>
        <r>
          <rPr>
            <b/>
            <sz val="8"/>
            <color indexed="81"/>
            <rFont val="Tahoma"/>
            <family val="2"/>
            <charset val="204"/>
          </rPr>
          <t>RAIFO:</t>
        </r>
        <r>
          <rPr>
            <sz val="8"/>
            <color indexed="81"/>
            <rFont val="Tahoma"/>
            <family val="2"/>
            <charset val="204"/>
          </rPr>
          <t xml:space="preserve">
необходимо ввсети кол-во педработников-для расчета методлитературы</t>
        </r>
      </text>
    </comment>
    <comment ref="H123" authorId="1">
      <text>
        <r>
          <rPr>
            <b/>
            <sz val="8"/>
            <color indexed="81"/>
            <rFont val="Tahoma"/>
            <family val="2"/>
            <charset val="204"/>
          </rPr>
          <t>Ильшат К. Саматов:</t>
        </r>
        <r>
          <rPr>
            <sz val="8"/>
            <color indexed="81"/>
            <rFont val="Tahoma"/>
            <family val="2"/>
            <charset val="204"/>
          </rPr>
          <t xml:space="preserve">
Олимп лето 70 зима 200
</t>
        </r>
      </text>
    </comment>
  </commentList>
</comments>
</file>

<file path=xl/sharedStrings.xml><?xml version="1.0" encoding="utf-8"?>
<sst xmlns="http://schemas.openxmlformats.org/spreadsheetml/2006/main" count="2180" uniqueCount="718">
  <si>
    <t>№ п/п</t>
  </si>
  <si>
    <t>Наименованние</t>
  </si>
  <si>
    <t>МОУ Адаевская начальная школа</t>
  </si>
  <si>
    <t>МОУ Аман-Оштарминская  начальная школа</t>
  </si>
  <si>
    <t>МОУ Арпаяз начальная школа</t>
  </si>
  <si>
    <t>МОУ Аш-Бузинская начальная школа</t>
  </si>
  <si>
    <t>МОУ Балдыкнинская начальная школа</t>
  </si>
  <si>
    <t>МОУ Балыклинская начальная школа</t>
  </si>
  <si>
    <t>МОУ Битлянгурская начальная школа</t>
  </si>
  <si>
    <t>МОУ Вахитовская начальная школа</t>
  </si>
  <si>
    <t>МОУ Верхнеискубашская начальная школа</t>
  </si>
  <si>
    <t>МОУ Верхнекузьмеская начальная школа</t>
  </si>
  <si>
    <t>МОУ Верхнекуморская начальная школа</t>
  </si>
  <si>
    <t>МОУ Верхнешуньская начальная школа</t>
  </si>
  <si>
    <t>МОУ Верхнеюмьинская начальная школа</t>
  </si>
  <si>
    <t>МОУ Верхнешеморданская начальная школа</t>
  </si>
  <si>
    <t>МОУ Иске -Юртская начальная школа</t>
  </si>
  <si>
    <t>МОУ Каенлыкская начальная школа</t>
  </si>
  <si>
    <t>МОУ Каенсарская начальная школа</t>
  </si>
  <si>
    <t>МОУ Камышлинская начальная школа</t>
  </si>
  <si>
    <t>МОУ Княбашская начальная школа</t>
  </si>
  <si>
    <t>МОУ Княгорская начальная школа</t>
  </si>
  <si>
    <t>МОУ Копкинская начальная школа</t>
  </si>
  <si>
    <t>МОУ Красногорская начальная школа</t>
  </si>
  <si>
    <t>МОУ Куркинская начальная школа</t>
  </si>
  <si>
    <t>МОУ Малочуринская начальная школа</t>
  </si>
  <si>
    <t>МОУ Нижнеказакларская начальная школа</t>
  </si>
  <si>
    <t>МОУ Нижнекуморская начальная школа</t>
  </si>
  <si>
    <t>МОУ Новокуморская начальная школа</t>
  </si>
  <si>
    <t>МОУ Новосардекская начальная школа</t>
  </si>
  <si>
    <t>МОУ Поршурская начальная школа</t>
  </si>
  <si>
    <t>МОУ Починок-Шеморданская начальная школа</t>
  </si>
  <si>
    <t>МОУ Пчеловодская начальная школа</t>
  </si>
  <si>
    <t>МОУ Саз-Тамакская начальная школа</t>
  </si>
  <si>
    <t>МОУ Салтык-Ерыклинская начальная школа</t>
  </si>
  <si>
    <t>МОУ Старо-Каенсарская начальная школа</t>
  </si>
  <si>
    <t>МОУ Староюмьинская начальная школа</t>
  </si>
  <si>
    <t>МОУ Татарско-Тулбинская начальная школа</t>
  </si>
  <si>
    <t>МОУ Ташлы-Елгинская начальная школа</t>
  </si>
  <si>
    <t>МОУ Туркашская начальная школа</t>
  </si>
  <si>
    <t>МОУ Тырышская начальная школа</t>
  </si>
  <si>
    <t>МОУ Челнинская начальная школа</t>
  </si>
  <si>
    <t>МОУ Чишмабашская начальная школа</t>
  </si>
  <si>
    <t>МОУ Шепшенарская начальная школа</t>
  </si>
  <si>
    <t>МОУ Янцобинская начальная школа</t>
  </si>
  <si>
    <t>МОУ Ятмас -Дусаевская начальная школа</t>
  </si>
  <si>
    <t>МОУ Байлянгарская ср.шк.</t>
  </si>
  <si>
    <t>МОУ Березнякская ср.шк.</t>
  </si>
  <si>
    <t>МОУ Больше Кукморская ср.шк.</t>
  </si>
  <si>
    <t>МОУ Больше Сардекская гимназия</t>
  </si>
  <si>
    <t>МОУ Каркаусская ср.шк.</t>
  </si>
  <si>
    <t>МОУ Кукморская гимназия №1</t>
  </si>
  <si>
    <t>МОУ Кукморская ср.шк.№2</t>
  </si>
  <si>
    <t>МОУ Кукморская ср.шк.№3</t>
  </si>
  <si>
    <t>МОУ Кукморская ср.шк.№4</t>
  </si>
  <si>
    <t>МОУ Лельвижская ср.шк.</t>
  </si>
  <si>
    <t>МОУ Лубянская ср.школа</t>
  </si>
  <si>
    <t>МОУ Мамаширская ср.шк</t>
  </si>
  <si>
    <t>МОУ Маскаринская ср.шк.</t>
  </si>
  <si>
    <t>МОУ Верхне-Арбашская ср.шк</t>
  </si>
  <si>
    <t>МОУ Нижне-Искубашская ср.шк.</t>
  </si>
  <si>
    <t>МОУ Нижне-Русская ср.шк.</t>
  </si>
  <si>
    <t>МОУ Ныртинская ср.шк.</t>
  </si>
  <si>
    <t>МОУ Нырьинская ср.шк.</t>
  </si>
  <si>
    <t>МОУ Олуязская ср.шк.</t>
  </si>
  <si>
    <t>МОУ Ош.Юмьинская ср.шк.</t>
  </si>
  <si>
    <t>МОУ Поч.Сутерская ср.шк</t>
  </si>
  <si>
    <t>МОУ Поч-Кучукская ср.шк.</t>
  </si>
  <si>
    <t>МОУ Псякская ср.шк.</t>
  </si>
  <si>
    <t>МОУ Сардекбашская ср.шк.</t>
  </si>
  <si>
    <t>МОУ Село-Чуринская ср.шк.</t>
  </si>
  <si>
    <t>МОУ Средне-Куморская ср.школа</t>
  </si>
  <si>
    <t>МОУ СОШ села Манзарас</t>
  </si>
  <si>
    <t>МОУ Туембашская осн.шк.</t>
  </si>
  <si>
    <t>МОУ Чарлинская ср.шк.</t>
  </si>
  <si>
    <t>МОУ Ядыгерская ср.шк.</t>
  </si>
  <si>
    <t>МОУ Яныльская ср.шк.</t>
  </si>
  <si>
    <t>МОУ Вечерняя сменная шк.</t>
  </si>
  <si>
    <t>ИТОГО</t>
  </si>
  <si>
    <t>Общий итог</t>
  </si>
  <si>
    <t>Учреждение 1</t>
  </si>
  <si>
    <t>Учреждение 2</t>
  </si>
  <si>
    <t>Учреждение 3</t>
  </si>
  <si>
    <t>Учреждение 4</t>
  </si>
  <si>
    <t>Учреждение 5</t>
  </si>
  <si>
    <t>Учреждение 6</t>
  </si>
  <si>
    <t>Учреждение 7</t>
  </si>
  <si>
    <t>Общеотраслевое</t>
  </si>
  <si>
    <t>Школы</t>
  </si>
  <si>
    <t>Министерство образования и науки Республики Татарстан</t>
  </si>
  <si>
    <t>Муниципальные учреждения</t>
  </si>
  <si>
    <t>Кукморский муниципальный район</t>
  </si>
  <si>
    <t>Школы - Кукморский район</t>
  </si>
  <si>
    <t>Муниципальное бюджетное образовательное учреждение многопрофильный лицей имени Атласа Минхаировича Булатова п.г.т.Кукмор Кукморского муниципального района РТ</t>
  </si>
  <si>
    <t>Муниципальное образовательное учреждение   Татарская гимназия №1.п.г.т.Кукмор Кукморского муниципального района Республики Татарстан</t>
  </si>
  <si>
    <t>Муниципальное образовательное учреждение  основная общеобразовательная школа   с.Туенбаш Кукморского муниципального района РТ</t>
  </si>
  <si>
    <t>Муниципальное образовательное учреждение  средняя общеобразовательная школа   д.Верхний Арбаш  Кукморского муниципального района РТ</t>
  </si>
  <si>
    <t>Муниципальное образовательное учреждение  средняя общеобразовательная школа  д.Починок Сутер  Кукморского муниципального района РТ</t>
  </si>
  <si>
    <t>Муниципальное образовательное учреждение  средняя общеобразовательная школа  с.Лельвиж Кукморского муниципального района РТ</t>
  </si>
  <si>
    <t>Муниципальное образовательное учреждение  средняя общеобразовательная школа  с.Мамашир Кукморского муниципального района РТ</t>
  </si>
  <si>
    <t>Муниципальное образовательное учреждение  средняя общеобразовательная школа  с.Нырья  Кукморского муниципального района РТ</t>
  </si>
  <si>
    <t>Муниципальное образовательное учреждение  средняя общеобразовательная школа  с.Ошторма-Юмья Кукморского муниципального района РТ</t>
  </si>
  <si>
    <t>Муниципальное образовательное учреждение  средняя общеобразовательная школа  с.Чарли  Кукморского муниципального района РТ</t>
  </si>
  <si>
    <t>Муниципальное образовательное учреждение  средняя общеобразовательная школа №3 п.г.т.Кукмор Кукморского муниципального района РТ</t>
  </si>
  <si>
    <t>Муниципальное образовательное учреждение  средняя общеобразовательная школа №4 п.г.т.Кукмор Кукморского муниципального района РТ</t>
  </si>
  <si>
    <t>Муниципальное образовательное учреждение  средняя общеобразовательная школа с углубленным изучением отдельных предметов с.Большой Кукмор Кукморского муниципального района РТ</t>
  </si>
  <si>
    <t>Муниципальное образовательное учреждение  средняя общеобразовательная школа с.Байлангар  Кукморского муниципального района РТ</t>
  </si>
  <si>
    <t>Муниципальное образовательное учреждение  средняя общеобразовательная школа с.Березняк Кукморского муниципального района РТ</t>
  </si>
  <si>
    <t>Муниципальное образовательное учреждение  средняя общеобразовательная школа с.Каркаусь  Кукморского муниципального района РТ</t>
  </si>
  <si>
    <t>Муниципальное образовательное учреждение  средняя общеобразовательная школа с.Маскара Кукморского муниципального района РТ</t>
  </si>
  <si>
    <t>Муниципальное образовательное учреждение  средняя общеобразовательная школа с.Нижний Искубаш</t>
  </si>
  <si>
    <t>Муниципальное образовательное учреждение  средняя общеобразовательная школа с.Нижний Русь  Кукморского муниципального района РТ</t>
  </si>
  <si>
    <t>Муниципальное образовательное учреждение  средняя общеобразовательная школа с.Нырты  Кукморского муниципального района РТ</t>
  </si>
  <si>
    <t>Муниципальное образовательное учреждение  средняя общеобразовательная школа с.Олуяз Кукморского муниципального района РТ</t>
  </si>
  <si>
    <t>Муниципальное образовательное учреждение  средняя общеобразовательная школа с.Починок Кучук Кукморского муниципального района РТ</t>
  </si>
  <si>
    <t>Муниципальное образовательное учреждение  средняя общеобразовательная школа с.Псяк Кукморского муниципального района РТ</t>
  </si>
  <si>
    <t>Муниципальное образовательное учреждение  средняя общеобразовательная школа с.Сардекбаш  Кукморского муниципального района РТ</t>
  </si>
  <si>
    <t>Муниципальное образовательное учреждение  средняя общеобразовательная школа с.Средний Кумор Кукморского муниципального района РТ</t>
  </si>
  <si>
    <t>Муниципальное образовательное учреждение  средняя общеобразовательная школа с.Ядыгерь Кукморского муниципального района РТ</t>
  </si>
  <si>
    <t>Муниципальное образовательное учреждение  средняя общеобразовательная школа с.Яныль  Кукморского муниципального района РТ</t>
  </si>
  <si>
    <t>Муниципальное образовательное учреждение  средняя общеобразовательная школас.Лубяны Кукморского муниципального района РТ</t>
  </si>
  <si>
    <t>Муниципальное образовательное учреждение " средняя общеобразовательная школа с углубленным изучением отдельных предметов  с.Манзарас " Кукморского муниципального района РТ</t>
  </si>
  <si>
    <t>Муниципальное образовательное учреждение "Вечерняя (сменная) общеобразовательная школа п.г.т. Кукмор"</t>
  </si>
  <si>
    <t>Муниципальное образовательное учреждение- гимназия с.Большой Сардек Кукморского муниципального района  Кукморского муниципального района РТ</t>
  </si>
  <si>
    <t>Муниципальное образовательное учреждение средняя общеобразовательная школа с. Село-Чура Кукморского муниципального района РТ</t>
  </si>
  <si>
    <t>Школы - Кукморский район Итого</t>
  </si>
  <si>
    <t>НФЗ</t>
  </si>
  <si>
    <t>МОУ Урясьбашская начальная школа</t>
  </si>
  <si>
    <t>ст211</t>
  </si>
  <si>
    <t>ст 213</t>
  </si>
  <si>
    <t>ИТОГО ст211+ст213</t>
  </si>
  <si>
    <t>НСВ</t>
  </si>
  <si>
    <t>ст213</t>
  </si>
  <si>
    <t>Отопление</t>
  </si>
  <si>
    <t>Электроэнергия</t>
  </si>
  <si>
    <t>Газ</t>
  </si>
  <si>
    <t>Водоснабжение</t>
  </si>
  <si>
    <t>Канализация</t>
  </si>
  <si>
    <t>Всего комуслуги</t>
  </si>
  <si>
    <t>Класс-комплекты</t>
  </si>
  <si>
    <t>Учащиеся</t>
  </si>
  <si>
    <t>Классов</t>
  </si>
  <si>
    <t>Учащихся</t>
  </si>
  <si>
    <t>Программа обучения</t>
  </si>
  <si>
    <t>Классы</t>
  </si>
  <si>
    <t>Земельный налог</t>
  </si>
  <si>
    <t>Налог на имущество</t>
  </si>
  <si>
    <t>Налог на нег.воздействие окружающей среды</t>
  </si>
  <si>
    <t>Фонд кухонных работников (включая начисления)</t>
  </si>
  <si>
    <t>Бесплатное питание (за искл. раздела 10)</t>
  </si>
  <si>
    <t>Транспортный налог</t>
  </si>
  <si>
    <t>ст 211 дкр304</t>
  </si>
  <si>
    <t>ст 213 дкр304</t>
  </si>
  <si>
    <t>ст 211+213 дкр304</t>
  </si>
  <si>
    <t>итого ст211 и 213</t>
  </si>
  <si>
    <t>Фонд кухонных работников ст211</t>
  </si>
  <si>
    <t>Фонд кухонных работников ст213</t>
  </si>
  <si>
    <t>остаток 304 после комуслуг и прочих</t>
  </si>
  <si>
    <t>Прочие 226099 304</t>
  </si>
  <si>
    <t>прочие 304 всего</t>
  </si>
  <si>
    <t>остаток 304 после комуслуг и прочих и 226099</t>
  </si>
  <si>
    <t>остаток 304 после всех</t>
  </si>
  <si>
    <t>Наименование</t>
  </si>
  <si>
    <t>число учащихся</t>
  </si>
  <si>
    <t>класс-комплект</t>
  </si>
  <si>
    <t>обучение на дому(в т.числе)</t>
  </si>
  <si>
    <t>ГПД</t>
  </si>
  <si>
    <t>Интернат</t>
  </si>
  <si>
    <t>1-4 кл</t>
  </si>
  <si>
    <t>5-9 кл</t>
  </si>
  <si>
    <t>10-11 кл</t>
  </si>
  <si>
    <t>Итого</t>
  </si>
  <si>
    <t>кол-во групп</t>
  </si>
  <si>
    <t>число уч.</t>
  </si>
  <si>
    <t/>
  </si>
  <si>
    <t>Итого:</t>
  </si>
  <si>
    <t>численность учащихся на 1 сентября  2012 года</t>
  </si>
  <si>
    <t>1623004630</t>
  </si>
  <si>
    <t>1623004816</t>
  </si>
  <si>
    <t>1623004573</t>
  </si>
  <si>
    <t>1623004615</t>
  </si>
  <si>
    <t>1623005915</t>
  </si>
  <si>
    <t>1623004982</t>
  </si>
  <si>
    <t>1623005023</t>
  </si>
  <si>
    <t>1623006010</t>
  </si>
  <si>
    <t>1623004686</t>
  </si>
  <si>
    <t>1623005866</t>
  </si>
  <si>
    <t>1623003298</t>
  </si>
  <si>
    <t>1623010545</t>
  </si>
  <si>
    <t>1623006073</t>
  </si>
  <si>
    <t>1623004862</t>
  </si>
  <si>
    <t>1623004742</t>
  </si>
  <si>
    <t>1623004679</t>
  </si>
  <si>
    <t>1623004647</t>
  </si>
  <si>
    <t>1623004990</t>
  </si>
  <si>
    <t>1623004848</t>
  </si>
  <si>
    <t>1623005055</t>
  </si>
  <si>
    <t>1623004750</t>
  </si>
  <si>
    <t>1623004767</t>
  </si>
  <si>
    <t>1623005070</t>
  </si>
  <si>
    <t>1623004809</t>
  </si>
  <si>
    <t>1623005947</t>
  </si>
  <si>
    <t>1623004774</t>
  </si>
  <si>
    <t>1623004703</t>
  </si>
  <si>
    <t>1623004943</t>
  </si>
  <si>
    <t>1623004904</t>
  </si>
  <si>
    <t>1623002417</t>
  </si>
  <si>
    <t>1623002424</t>
  </si>
  <si>
    <t>1623002431</t>
  </si>
  <si>
    <t>1623002449</t>
  </si>
  <si>
    <t>1623004580</t>
  </si>
  <si>
    <t>1623005880</t>
  </si>
  <si>
    <t>1623003266</t>
  </si>
  <si>
    <t>1623004870</t>
  </si>
  <si>
    <t>1623005993</t>
  </si>
  <si>
    <t>1623005859</t>
  </si>
  <si>
    <t>1623006098</t>
  </si>
  <si>
    <t>1623004051</t>
  </si>
  <si>
    <t>1623004975</t>
  </si>
  <si>
    <t>1623004781</t>
  </si>
  <si>
    <t>1623004527</t>
  </si>
  <si>
    <t>1623004693</t>
  </si>
  <si>
    <t>1623006034</t>
  </si>
  <si>
    <t>1623006059</t>
  </si>
  <si>
    <t>1623005922</t>
  </si>
  <si>
    <t>1623005961</t>
  </si>
  <si>
    <t>1623004894</t>
  </si>
  <si>
    <t>1623006027</t>
  </si>
  <si>
    <t>1623005834</t>
  </si>
  <si>
    <t>1623004654</t>
  </si>
  <si>
    <t>1623006041</t>
  </si>
  <si>
    <t>1623004887</t>
  </si>
  <si>
    <t>1623010030</t>
  </si>
  <si>
    <t>1623010496</t>
  </si>
  <si>
    <t>1623005094</t>
  </si>
  <si>
    <t>1623005841</t>
  </si>
  <si>
    <t>1623005930</t>
  </si>
  <si>
    <t>1623006066</t>
  </si>
  <si>
    <t>1623005030</t>
  </si>
  <si>
    <t>1623004823</t>
  </si>
  <si>
    <t>1623004950</t>
  </si>
  <si>
    <t>1623004799</t>
  </si>
  <si>
    <t>1623005954</t>
  </si>
  <si>
    <t>1623004968</t>
  </si>
  <si>
    <t>1623004661</t>
  </si>
  <si>
    <t>1623006108</t>
  </si>
  <si>
    <t>1623005979</t>
  </si>
  <si>
    <t>1623004929</t>
  </si>
  <si>
    <t>1623004622</t>
  </si>
  <si>
    <t>1623004728</t>
  </si>
  <si>
    <t>1623005908</t>
  </si>
  <si>
    <t>1623004566</t>
  </si>
  <si>
    <t>1623005898</t>
  </si>
  <si>
    <t>1623004710</t>
  </si>
  <si>
    <t>инн</t>
  </si>
  <si>
    <t>число учащихся нормативное</t>
  </si>
  <si>
    <t>число учащихся разница</t>
  </si>
  <si>
    <t>число учащихся для расчета бюджета (75%-20%)</t>
  </si>
  <si>
    <t>разница учащихся для расчета бюджета (75%-20%)</t>
  </si>
  <si>
    <t>норматив нфз</t>
  </si>
  <si>
    <t>дополнительные средства на образование</t>
  </si>
  <si>
    <t>норматив допобразование</t>
  </si>
  <si>
    <t>дополнительные средства на допобразование</t>
  </si>
  <si>
    <t>дополнительные средства всего</t>
  </si>
  <si>
    <t>не хватает в 2012 году на нфз</t>
  </si>
  <si>
    <t>в том числе</t>
  </si>
  <si>
    <t>не хватает</t>
  </si>
  <si>
    <t>излишек</t>
  </si>
  <si>
    <t>не хватает в 2013 году на нфз</t>
  </si>
  <si>
    <t>средняя наполнемость</t>
  </si>
  <si>
    <t>Госстандарт 2013 год</t>
  </si>
  <si>
    <t>Выборка: Основные показатели работы учреждений Школы_OLAP</t>
  </si>
  <si>
    <t>Отчет распечатан: Самигуллин Ильнур Кафилович</t>
  </si>
  <si>
    <t>Класс комплект</t>
  </si>
  <si>
    <t>Наполняемость</t>
  </si>
  <si>
    <t>Норматив НФЗ</t>
  </si>
  <si>
    <t>Норматив содержания воспитанников</t>
  </si>
  <si>
    <t>Объем по нормативу НФЗ</t>
  </si>
  <si>
    <t>Объем финансовых затрат по обучению</t>
  </si>
  <si>
    <t>Объем по содержанию воспитанников</t>
  </si>
  <si>
    <t>Фонд кухонных работников</t>
  </si>
  <si>
    <t>Бесплатное питание</t>
  </si>
  <si>
    <t>Отапливаемая площадь</t>
  </si>
  <si>
    <t>Общая площадь</t>
  </si>
  <si>
    <t>Расходы на комм. услуги</t>
  </si>
  <si>
    <t>Расходы на ремонт</t>
  </si>
  <si>
    <t>Расходы на оборудование</t>
  </si>
  <si>
    <t>Прочие расходы</t>
  </si>
  <si>
    <t>Объем фин. обеспечения</t>
  </si>
  <si>
    <t>Итого НСИ</t>
  </si>
  <si>
    <t>Стоимость содержания имущества</t>
  </si>
  <si>
    <t>Налоги</t>
  </si>
  <si>
    <t>Связь</t>
  </si>
  <si>
    <t>Дератизация</t>
  </si>
  <si>
    <t>Субвенции</t>
  </si>
  <si>
    <t>Расходы на бассейн</t>
  </si>
  <si>
    <t>Субвенции (из формы)</t>
  </si>
  <si>
    <t>Субсидии (из формы)</t>
  </si>
  <si>
    <t>Субсидии</t>
  </si>
  <si>
    <t>Расходы на текущий ремонт</t>
  </si>
  <si>
    <t>Прочие расходы доведение</t>
  </si>
  <si>
    <t>Вывоз мусора</t>
  </si>
  <si>
    <t>Объем по НФЗ по нормативу</t>
  </si>
  <si>
    <t>Ком.услуги факт</t>
  </si>
  <si>
    <t>ИНН</t>
  </si>
  <si>
    <t>Ступень образования</t>
  </si>
  <si>
    <t>Тип населенного пункта</t>
  </si>
  <si>
    <t>Вид НФЗ</t>
  </si>
  <si>
    <t>Тип учреждения</t>
  </si>
  <si>
    <t>Тип класса</t>
  </si>
  <si>
    <t>Вид НСИ</t>
  </si>
  <si>
    <t>Статус Гос. услуги</t>
  </si>
  <si>
    <t>Специальная коррекционная школа- интернат</t>
  </si>
  <si>
    <t>КПП</t>
  </si>
  <si>
    <t>Гимназия с. Большой Сардек Кукморск. района</t>
  </si>
  <si>
    <t>МБОУ СОШ Ныртинского совхоза Кукморского района</t>
  </si>
  <si>
    <t>МБОУ СОШ с. Чарли Кукморского района</t>
  </si>
  <si>
    <t>МБОУ СОШ с.Байлангар Кукморского района</t>
  </si>
  <si>
    <t>МБОУ СОШ с.Березняк Кукморского района</t>
  </si>
  <si>
    <t>МБОУ СОШ с.Большой Кукмор Кукморского района</t>
  </si>
  <si>
    <t>МБОУ СОШ с.Каркаусь Кукморского района</t>
  </si>
  <si>
    <t>МБОУ СОШ с.Нижний Искубаш Кукморского района</t>
  </si>
  <si>
    <t>МБОУ СОШ с.Нижняя Русь Кукморского района</t>
  </si>
  <si>
    <t>МБОУ СОШ с.Нырья Кукморского района</t>
  </si>
  <si>
    <t>МБОУ СОШ с.Олуяз Кукморского района</t>
  </si>
  <si>
    <t>МБОУ СОШ с.Починок Кучук Кукморского района</t>
  </si>
  <si>
    <t>МБОУ СОШ с.Починок Сутер Кукморского района</t>
  </si>
  <si>
    <t>МБОУ СОШ с.Псяк Кукморского района</t>
  </si>
  <si>
    <t>МБОУ СОШ с.Сардек-Баш Кукморского района</t>
  </si>
  <si>
    <t>МБОУ СОШ с.Село-Чура Кукморского района</t>
  </si>
  <si>
    <t>МБОУ СОШ с.Средний Кукмор Кукморского района</t>
  </si>
  <si>
    <t>МБОУ СОШ с.Ядыгерь Кукморского района</t>
  </si>
  <si>
    <t>МБОУ СОШ с.Яныль Кукморского района</t>
  </si>
  <si>
    <t>ООШ с.Туенбаш Кукморск. района</t>
  </si>
  <si>
    <t>СОШ с.Ошторма Юмья Кукморск. района</t>
  </si>
  <si>
    <t>Субсидии 302</t>
  </si>
  <si>
    <t>Тарификация за год ст 211</t>
  </si>
  <si>
    <t>Тарификация за год ст 213</t>
  </si>
  <si>
    <t>остаток зп и есн после субв302 и 303 и кухраб</t>
  </si>
  <si>
    <t>ст 211 субс302</t>
  </si>
  <si>
    <t>ст 213 субс302</t>
  </si>
  <si>
    <t>ст 211+213 субс302</t>
  </si>
  <si>
    <t>остаток зп и есн после субс302</t>
  </si>
  <si>
    <t>НСИ 304</t>
  </si>
  <si>
    <t>остаток зп и есн после 304  (ДКР 305)</t>
  </si>
  <si>
    <t>СУБВЕНЦИЯ 302</t>
  </si>
  <si>
    <t>СУБСИДИЯ 302</t>
  </si>
  <si>
    <t>НСВ 303</t>
  </si>
  <si>
    <t>ВСЕГО норматив распределено</t>
  </si>
  <si>
    <t>ст 211 распределено</t>
  </si>
  <si>
    <t>ст 213 распределено</t>
  </si>
  <si>
    <t>ФОТ распределено</t>
  </si>
  <si>
    <t>Тарификация за год ст 211+213</t>
  </si>
  <si>
    <t>разница с тарификацией ст 211</t>
  </si>
  <si>
    <t>разница с тарификацией ст 213</t>
  </si>
  <si>
    <t>разница с тарификацией ст 211+213</t>
  </si>
  <si>
    <t>Норматив +305</t>
  </si>
  <si>
    <t>Прочие субсидии</t>
  </si>
  <si>
    <t xml:space="preserve">Норматив </t>
  </si>
  <si>
    <t>Разница норматив -смета</t>
  </si>
  <si>
    <t>в рублях</t>
  </si>
  <si>
    <t>Каменный уголь, дрова</t>
  </si>
  <si>
    <t>должно быть</t>
  </si>
  <si>
    <t>село</t>
  </si>
  <si>
    <t>город</t>
  </si>
  <si>
    <t>матзатраты</t>
  </si>
  <si>
    <t>ФОТ вспомогательного персонала</t>
  </si>
  <si>
    <t>Муниципальное бюджетное образовательное учреждение  средняя общеобразовательная школа №4 п.г.т.Кукмор Кукморского муниципального района РТ</t>
  </si>
  <si>
    <t>Муниципальное бюджетное образовательное учреждение гимназия № 1 им. Ч.Т.Айтманова поселка городского типа Кукмор  Кукморского муниципального района Республики Татарстан</t>
  </si>
  <si>
    <t>Муниципальное бюджетное образовательное учреждение средняя общеобразовательная школа №3 поселка городского типа Кукмор  Кукморского муниципального района Республики Татарстан</t>
  </si>
  <si>
    <t>Муниципальное бюджетное образовательное учреждение средняя общеобразовательная школа деревни Нижний Арбаш Кукморского муниципального района Республики Татарстан</t>
  </si>
  <si>
    <t>Муниципальное бюджетное образовательное учреждение средняя общеобразовательная школа села Лельвиж Кукморского муниципального района</t>
  </si>
  <si>
    <t>Муниципальное бюджетное образовательное учреждение средняя общеобразовательная школа села Лубяны Кукморского муниципального района Республики Татарстан</t>
  </si>
  <si>
    <t>Муниципальное бюджетное образовательное учреждение средняя общеобразовательная школа села Мамашир  Кукморского муниципального района Республики Татарстан</t>
  </si>
  <si>
    <t>Муниципальное бюджетное образовательное учреждение средняя общеобразовательная школа села Манзарас Кукморского муниципального района</t>
  </si>
  <si>
    <t>Муниципальное бюджетное образовательное учреждение средняя общеобразовательная школа села Маскара  Кукморского муниципального района Республики Татарстан</t>
  </si>
  <si>
    <t>Кукморский муниципальный район Итого</t>
  </si>
  <si>
    <t>Муниципальные учреждения Итого</t>
  </si>
  <si>
    <t>Министерство образования и науки Республики Татарстан Итого</t>
  </si>
  <si>
    <t>Школы Итого</t>
  </si>
  <si>
    <t>Общеотраслевое Итого</t>
  </si>
  <si>
    <t>Налоги 308 всего</t>
  </si>
  <si>
    <t>Учреждение 8</t>
  </si>
  <si>
    <t>МБОУ СОШ с.Яныль Кукморского района Итого</t>
  </si>
  <si>
    <t>МБОУ СОШ с.Байлангар Кукморского района Итого</t>
  </si>
  <si>
    <t>МБОУ СОШ с.Средний Кукмор Кукморского района Итого</t>
  </si>
  <si>
    <t>Гимназия с. Большой Сардек Кукморск. района Итого</t>
  </si>
  <si>
    <t>ООШ с.Туенбаш Кукморск. района Итого</t>
  </si>
  <si>
    <t>МБОУ СОШ с.Починок Сутер Кукморского района Итого</t>
  </si>
  <si>
    <t>МБОУ СОШ с.Ядыгерь Кукморского района Итого</t>
  </si>
  <si>
    <t>МБОУ СОШ Ныртинского совхоза Кукморского района Итого</t>
  </si>
  <si>
    <t>МБОУ СОШ с.Нижний Искубаш Кукморского района Итого</t>
  </si>
  <si>
    <t>МБОУ СОШ с.Нижняя Русь Кукморского района Итого</t>
  </si>
  <si>
    <t>МБОУ СОШ с.Нырья Кукморского района Итого</t>
  </si>
  <si>
    <t>МБОУ СОШ с.Олуяз Кукморского района Итого</t>
  </si>
  <si>
    <t>СОШ с.Ошторма Юмья Кукморск. района Итого</t>
  </si>
  <si>
    <t>МБОУ СОШ с.Псяк Кукморского района Итого</t>
  </si>
  <si>
    <t>МБОУ СОШ с.Село-Чура Кукморского района Итого</t>
  </si>
  <si>
    <t>МБОУ СОШ с. Чарли Кукморского района Итого</t>
  </si>
  <si>
    <t>МБОУ СОШ с.Каркаусь Кукморского района Итого</t>
  </si>
  <si>
    <t>МБОУ СОШ с.Большой Кукмор Кукморского района Итого</t>
  </si>
  <si>
    <t>МБОУ СОШ с.Починок Кучук Кукморского района Итого</t>
  </si>
  <si>
    <t>МБОУ СОШ с.Сардек-Баш Кукморского района Итого</t>
  </si>
  <si>
    <t>МБОУ СОШ с.Березняк Кукморского района Итого</t>
  </si>
  <si>
    <t>Не хватает лимитов на отопление</t>
  </si>
  <si>
    <t>Тарификация 01012013</t>
  </si>
  <si>
    <t>Льготы жку</t>
  </si>
  <si>
    <t>Школьный автобус</t>
  </si>
  <si>
    <t>ИТОГО СМЕТА</t>
  </si>
  <si>
    <t>Выборка: Основные показатели работы учреждений Школы_OLAP и</t>
  </si>
  <si>
    <t>Дата печати: 11.12.2013 11:25:30</t>
  </si>
  <si>
    <t>Отчетные периоды: 2014_Нормативы</t>
  </si>
  <si>
    <t>Смета бюджет</t>
  </si>
  <si>
    <t>Смета внебюджет</t>
  </si>
  <si>
    <t>Общая численность</t>
  </si>
  <si>
    <t>Фактический НСИ</t>
  </si>
  <si>
    <t>Фактический НСИ на кв.м</t>
  </si>
  <si>
    <t>Базовый НСИ на кв.м</t>
  </si>
  <si>
    <t>Поправочный коэфф. НСИ</t>
  </si>
  <si>
    <t>Объем финансирования учреждения из бюджета</t>
  </si>
  <si>
    <t>Поправочный коэффициент к ОФО</t>
  </si>
  <si>
    <t>Объем финансового обеспечения по нормативу без прочих расходов</t>
  </si>
  <si>
    <t>НФЗ скорректированный</t>
  </si>
  <si>
    <t>Сумма 305 (прочие)</t>
  </si>
  <si>
    <t>Кол-во учреждений</t>
  </si>
  <si>
    <t>Ассигнования</t>
  </si>
  <si>
    <t>Ассигнования 2011</t>
  </si>
  <si>
    <t>Раздел / подраздел</t>
  </si>
  <si>
    <t>Целевая статья</t>
  </si>
  <si>
    <t>Вид расхода</t>
  </si>
  <si>
    <t>КОСГУ</t>
  </si>
  <si>
    <t>ДопЭК</t>
  </si>
  <si>
    <t>ДопФК</t>
  </si>
  <si>
    <t>ДопКР</t>
  </si>
  <si>
    <t>Дата печати: 11.12.2013 13:01:44</t>
  </si>
  <si>
    <t>Комуслуги норматив</t>
  </si>
  <si>
    <t>применяется</t>
  </si>
  <si>
    <t>304+308</t>
  </si>
  <si>
    <t>1. Класс комплект</t>
  </si>
  <si>
    <t>2. Классов</t>
  </si>
  <si>
    <t>3. Учащихся</t>
  </si>
  <si>
    <t>4. Наполняемость</t>
  </si>
  <si>
    <t>5. Норматив НФЗ</t>
  </si>
  <si>
    <t>6. Объем по нормативу НФЗ</t>
  </si>
  <si>
    <t>7. Субвенции (из формы)</t>
  </si>
  <si>
    <t>8. Субсидии (из формы)</t>
  </si>
  <si>
    <t>9. Норматив содержания воспитанников</t>
  </si>
  <si>
    <t>10. Объем по содержанию воспитанников</t>
  </si>
  <si>
    <t>11. Стоимость содержания имущества</t>
  </si>
  <si>
    <t>12. Объем фин. обеспечения</t>
  </si>
  <si>
    <t>13. Фонд кухонных работников</t>
  </si>
  <si>
    <t>14. Бесплатное питание</t>
  </si>
  <si>
    <t>15. ФОТ вспомогательного персонала</t>
  </si>
  <si>
    <t>16. Связь</t>
  </si>
  <si>
    <t>17. Дератизация</t>
  </si>
  <si>
    <t>18. Расходы на бассейн</t>
  </si>
  <si>
    <t>19. Прочие расходы доведение</t>
  </si>
  <si>
    <t>20. Вывоз мусора</t>
  </si>
  <si>
    <t>21. Ком.услуги факт</t>
  </si>
  <si>
    <t>22. Расходы на текущий ремонт</t>
  </si>
  <si>
    <t>23. Отапливаемая площадь</t>
  </si>
  <si>
    <t>24. Общая площадь</t>
  </si>
  <si>
    <t>Субвенция всего 283757,9822</t>
  </si>
  <si>
    <t>Компенсация ГСМ</t>
  </si>
  <si>
    <t>Услуги охраны</t>
  </si>
  <si>
    <t>Вывоз тбо</t>
  </si>
  <si>
    <t>Услуги связи</t>
  </si>
  <si>
    <t>Сан.гиг. обслед.</t>
  </si>
  <si>
    <t>Тех. обслуж. охрана</t>
  </si>
  <si>
    <t>Услуги всего</t>
  </si>
  <si>
    <t>КУ 308</t>
  </si>
  <si>
    <t>КПТ 308</t>
  </si>
  <si>
    <t>ДопКр</t>
  </si>
  <si>
    <t>КЦСР</t>
  </si>
  <si>
    <t>Заработная плата</t>
  </si>
  <si>
    <t>00000</t>
  </si>
  <si>
    <t>Отчисления от ЗП</t>
  </si>
  <si>
    <t>Прочие услуги</t>
  </si>
  <si>
    <t>Вода</t>
  </si>
  <si>
    <t>Электроэнергия (возмещение)</t>
  </si>
  <si>
    <t>Отопление (возмещение)</t>
  </si>
  <si>
    <t>Газ (возмещение)</t>
  </si>
  <si>
    <t>Вода (возмещение)</t>
  </si>
  <si>
    <t>Канализация (возмещение)</t>
  </si>
  <si>
    <t>Вывоз ТБО</t>
  </si>
  <si>
    <t>Сан.гиг. обследования</t>
  </si>
  <si>
    <t>Техобслуживание (охрана)</t>
  </si>
  <si>
    <t>Уголь</t>
  </si>
  <si>
    <t>Финансовое обеспечение всего, в т.ч.</t>
  </si>
  <si>
    <t>в том числе по ДОП КР</t>
  </si>
  <si>
    <t>Норматив содержания воспитанников (303)</t>
  </si>
  <si>
    <t>Норматив содержания имущества (304)</t>
  </si>
  <si>
    <t>Коммунальные услуги (304)</t>
  </si>
  <si>
    <t>Норматив финансовых затрат (302) Субвенция</t>
  </si>
  <si>
    <t>Норматив финансовых затрат (302) Субсидия</t>
  </si>
  <si>
    <t>Зарплата обсуживающего персонала (304)</t>
  </si>
  <si>
    <t>Зарплата кухонных работников (304)</t>
  </si>
  <si>
    <t>00936</t>
  </si>
  <si>
    <t>Нормативные расходы</t>
  </si>
  <si>
    <t>ИТОГО нормативные расходы</t>
  </si>
  <si>
    <t>00954</t>
  </si>
  <si>
    <t>Заработная плата кухонных работников</t>
  </si>
  <si>
    <t>Отчисления от ЗП кухонных работников</t>
  </si>
  <si>
    <t>Питание в ГПД</t>
  </si>
  <si>
    <t>Заработная плата обслуживающего персонала</t>
  </si>
  <si>
    <t>Отчисления от ЗП обслуживающего персонала</t>
  </si>
  <si>
    <t>Сверхнормативные расходы</t>
  </si>
  <si>
    <t>ИТОГО ПЛАН ФХД</t>
  </si>
  <si>
    <t>СОШ с.Манзарас Кукморск. района</t>
  </si>
  <si>
    <t>СОШ с.Лубяны Кукморск. района</t>
  </si>
  <si>
    <t>СОШ с.Лельвиж Кукморск. района</t>
  </si>
  <si>
    <t>СОШ с. Маскара Кукморск. района</t>
  </si>
  <si>
    <t>СОШ с. Мамашир Кукморск. района</t>
  </si>
  <si>
    <t>СОШ д.Верхний Арбаш Кукморск. района</t>
  </si>
  <si>
    <t>СОШ №4 п.г.т.Кукмор Кукморск. района</t>
  </si>
  <si>
    <t>СОШ №3 п.г.т.Кукмор Кукморск. района</t>
  </si>
  <si>
    <t>СОШ №2 п.г.т.Кукмор Кукморск. района</t>
  </si>
  <si>
    <t>Гимназия № 1.п.г.т.Кукмор Кукморск. района</t>
  </si>
  <si>
    <t>ВОШ Кукморск. района</t>
  </si>
  <si>
    <t>Смета</t>
  </si>
  <si>
    <t>Тарификация 2015 декабрь НСОТ2</t>
  </si>
  <si>
    <t>Дата печати: 11.12.2015 16:32:07</t>
  </si>
  <si>
    <t>Отчетные периоды: 2016_Нормативы</t>
  </si>
  <si>
    <t>ВОШ Кукморск. района Итого</t>
  </si>
  <si>
    <t>Гимназия № 1.п.г.т.Кукмор Кукморск. района Итого</t>
  </si>
  <si>
    <t>СОШ №2 п.г.т.Кукмор Кукморск. района Итого</t>
  </si>
  <si>
    <t>СОШ №3 п.г.т.Кукмор Кукморск. района Итого</t>
  </si>
  <si>
    <t>СОШ №4 п.г.т.Кукмор Кукморск. района Итого</t>
  </si>
  <si>
    <t>СОШ д.Верхний Арбаш Кукморск. района Итого</t>
  </si>
  <si>
    <t>СОШ с. Мамашир Кукморск. района Итого</t>
  </si>
  <si>
    <t>СОШ с. Маскара Кукморск. района Итого</t>
  </si>
  <si>
    <t>СОШ с.Лельвиж Кукморск. района Итого</t>
  </si>
  <si>
    <t>СОШ с.Лубяны Кукморск. района Итого</t>
  </si>
  <si>
    <t>СОШ с.Манзарас Кукморск. района Итого</t>
  </si>
  <si>
    <t>Нормативное финансирование в школах  в 2016 году</t>
  </si>
  <si>
    <t>норма/ед,руб</t>
  </si>
  <si>
    <t>код бюджета</t>
  </si>
  <si>
    <t>примечание</t>
  </si>
  <si>
    <t>Наименование учреждений</t>
  </si>
  <si>
    <t>Код учреждения</t>
  </si>
  <si>
    <t>газ, куб.м</t>
  </si>
  <si>
    <t>газ потребители</t>
  </si>
  <si>
    <t>Оплата потребления газа</t>
  </si>
  <si>
    <t>Код статьи</t>
  </si>
  <si>
    <t>рай</t>
  </si>
  <si>
    <t>Управление образования</t>
  </si>
  <si>
    <t>1623005672</t>
  </si>
  <si>
    <t>1623005746</t>
  </si>
  <si>
    <t>1623005432</t>
  </si>
  <si>
    <t>1623005577</t>
  </si>
  <si>
    <t>1623005390</t>
  </si>
  <si>
    <t>1623005231</t>
  </si>
  <si>
    <t>1623005312</t>
  </si>
  <si>
    <t>1623005143</t>
  </si>
  <si>
    <t>1623011468</t>
  </si>
  <si>
    <t>1623010538</t>
  </si>
  <si>
    <t>1623005697</t>
  </si>
  <si>
    <t>1623005256</t>
  </si>
  <si>
    <t>1623005513</t>
  </si>
  <si>
    <t>1623005150</t>
  </si>
  <si>
    <t>1623005263</t>
  </si>
  <si>
    <t>1623005200</t>
  </si>
  <si>
    <t>1623005351</t>
  </si>
  <si>
    <t>1623005104</t>
  </si>
  <si>
    <t>1623005506</t>
  </si>
  <si>
    <t>1623005714</t>
  </si>
  <si>
    <t>1623005721</t>
  </si>
  <si>
    <t>1623005369</t>
  </si>
  <si>
    <t>1623005760</t>
  </si>
  <si>
    <t>1623005665</t>
  </si>
  <si>
    <t>1623005626</t>
  </si>
  <si>
    <t>1623005418</t>
  </si>
  <si>
    <t>1623005182</t>
  </si>
  <si>
    <t>1623005601</t>
  </si>
  <si>
    <t>1623005552</t>
  </si>
  <si>
    <t>1623011490</t>
  </si>
  <si>
    <t>1623005538</t>
  </si>
  <si>
    <t>1623005619</t>
  </si>
  <si>
    <t>1623005560</t>
  </si>
  <si>
    <t>1623011274</t>
  </si>
  <si>
    <t>1623011482</t>
  </si>
  <si>
    <t>1623005464</t>
  </si>
  <si>
    <t>1623005288</t>
  </si>
  <si>
    <t>1623005270</t>
  </si>
  <si>
    <t>1623005320</t>
  </si>
  <si>
    <t>1623005425</t>
  </si>
  <si>
    <t>1623005640</t>
  </si>
  <si>
    <t>1623005440</t>
  </si>
  <si>
    <t>1623005175</t>
  </si>
  <si>
    <t>1623005785</t>
  </si>
  <si>
    <t>1623010506</t>
  </si>
  <si>
    <t>1623005400</t>
  </si>
  <si>
    <t>1623005707</t>
  </si>
  <si>
    <t>1623005217</t>
  </si>
  <si>
    <t>1623005658</t>
  </si>
  <si>
    <t>1623005383</t>
  </si>
  <si>
    <t>1623005633</t>
  </si>
  <si>
    <t>1623005520</t>
  </si>
  <si>
    <t>1623005457</t>
  </si>
  <si>
    <t>1623005305</t>
  </si>
  <si>
    <t>1623005376</t>
  </si>
  <si>
    <t>1623005337</t>
  </si>
  <si>
    <t>1623005489</t>
  </si>
  <si>
    <t>1623005168</t>
  </si>
  <si>
    <t>1623005591</t>
  </si>
  <si>
    <t>1623005249</t>
  </si>
  <si>
    <t>дду304</t>
  </si>
  <si>
    <t>дет.сад (Кукморский р-н, д.Арпаяз)</t>
  </si>
  <si>
    <t>дет.сад (Кукморский р-н, д.Аш-Бузи)</t>
  </si>
  <si>
    <t>дет.сад (Кукморский р-н, д.Байлангар)</t>
  </si>
  <si>
    <t>дет.сад (Кукморский р-н, д.Вахитово)</t>
  </si>
  <si>
    <t>детский сад (Кукморский р-н, и д. Каенсар)</t>
  </si>
  <si>
    <t>дет.сад (Кукморский р-н, д.Качимир)</t>
  </si>
  <si>
    <t>дет.сад (Кукморский р-н, д.Киндеркуль)</t>
  </si>
  <si>
    <t>детский сад (Кукморский р-н, д.Люга)</t>
  </si>
  <si>
    <t>дет.сад (Кукморский р-н, д.Манзарас)</t>
  </si>
  <si>
    <t>дет.сад (Кукморский р-н, д.Олуяз)</t>
  </si>
  <si>
    <t>дет.сад (Кукморский р-н, д.Поршур)</t>
  </si>
  <si>
    <t>дет.сад (Кукморский р-н, д.Сардекбаш)</t>
  </si>
  <si>
    <t>дет.сад (Кукморский р-н, д.Ст.Юмья)</t>
  </si>
  <si>
    <t>дет.сад (Кукморский р-н, д.Чарлы)</t>
  </si>
  <si>
    <t>дет.сад (Кукморский р-н, д.Чишмабаш)</t>
  </si>
  <si>
    <t>дет.сад (Кукморский р-н, д.Ядыгерь)</t>
  </si>
  <si>
    <t>дет.сад (Кукморский р-н, д. Янцобино)</t>
  </si>
  <si>
    <t>нси304</t>
  </si>
  <si>
    <t>филиал СОШ с. Большой Сардек (Кукморский р-н, д. Адаево)</t>
  </si>
  <si>
    <t>филиал СОШ с. Большой Сардек (Кукморский р-н, н.п. Аш-Бузи, ул. Молодежная 45)</t>
  </si>
  <si>
    <t>филиал СОШ с. Олуяз (Кукморский р-н, д. Балыклы)</t>
  </si>
  <si>
    <t>филиал СОШ с. Нижний Искубаш (Кукморский р-н, д. В.Искубаш)</t>
  </si>
  <si>
    <t>филиал СОШ с. Нырья (Кукморский р-н, д. В.Кузьмесь)</t>
  </si>
  <si>
    <t>филиал СОШ с. Починок Сутер (РТ, Кукморский р-н, н.п. Верх. Шунь)</t>
  </si>
  <si>
    <t>филиал СОШ с. Большой Кукмор (Кукморский р-н, д. Иске-Юрт)</t>
  </si>
  <si>
    <t>филиал СОШ с. Сардекбаш (Кукморский р-н, д. Каенлык)</t>
  </si>
  <si>
    <t>филиал СОШ с. Березняк (Кукморский р-н, д. Камышлы)</t>
  </si>
  <si>
    <t>МОУ Кня-Башский детский сад</t>
  </si>
  <si>
    <t>филиал СОШ с. Починок (Кукморский р-н, д. Княгор)</t>
  </si>
  <si>
    <t>филиал СОШ с. Большой Сардек (Кукморский р-н, д. Копки)</t>
  </si>
  <si>
    <t>филиал СОШ с. Село Чура (Кукморский р-н, д. Малая Чура)</t>
  </si>
  <si>
    <t>филиал СОШ с. Олуяз (Кукморский р-н, д. Нижний Казаклар)</t>
  </si>
  <si>
    <t>филиал СОШ с. Сардекбаш (Кукморский р-н, н.п. Новый Сардек, ул. Центральная 2)</t>
  </si>
  <si>
    <t>филиал СОШ с. Село Чура (Кукморский р-н, д. Пчеловод)</t>
  </si>
  <si>
    <t>филиал СОШ с. Байлангар (Кукморский р-н, д. Саз-Тамак)</t>
  </si>
  <si>
    <t>филиал СОШ с. Починок Сутер (РТ, Кукморский р-н, н.п. Ст. Каенсар)</t>
  </si>
  <si>
    <t>филиал СОШ с. Чарлы (Кукморский р-н, д. Тат. Тулба)</t>
  </si>
  <si>
    <t>филиал СОШ с. Каркаусь (Кукморский р-н, д. Ташлы-Елга)</t>
  </si>
  <si>
    <t>филиал СОШ с. Сардекбаш (Кукморский р-н, д. Трыш)</t>
  </si>
  <si>
    <t>филиал СОШ с. Большой Сардек (Кукморский р-н, д. Чишма-Баш)</t>
  </si>
  <si>
    <t>филиал СОШ с. Большой Кукмор (Кукморский р-н, д. Янцобино)</t>
  </si>
  <si>
    <t>столовая школы (Кукморский район, с. Байлангар, ул. Школьная, д.10)</t>
  </si>
  <si>
    <t>основная неполная школа (Кукморский р-н, д. Туембаш)</t>
  </si>
  <si>
    <t>МОУ Адаевский детский сад</t>
  </si>
  <si>
    <t>МОУ Арпаязский детский сад</t>
  </si>
  <si>
    <t>МОУ Асан-Елгинский детский сад</t>
  </si>
  <si>
    <t>МОУ Аш-Бузинский детский сад</t>
  </si>
  <si>
    <t>МОУ Байлянгарский детский сад</t>
  </si>
  <si>
    <t>МОУ Березнякский детский сад</t>
  </si>
  <si>
    <t>МОУ Битлянгурский детский сад</t>
  </si>
  <si>
    <t>МОУ Большекукморский детский сад</t>
  </si>
  <si>
    <t>МОУ Большекукморский детский сад №2</t>
  </si>
  <si>
    <t>МОУ Вахитовский детский сад</t>
  </si>
  <si>
    <t>МОУ Верхне-Арбашский детский сад</t>
  </si>
  <si>
    <t>МОУ Детский сад №01 п.Кукмор</t>
  </si>
  <si>
    <t>МОУ Детский сад №02 п.Кукмор</t>
  </si>
  <si>
    <t>МОУ Детский сад №04 п.Кукмор</t>
  </si>
  <si>
    <t>МОУ Детский сад №06 п.Кукмор</t>
  </si>
  <si>
    <t>МОУ Детский сад №07 п.Кукмор</t>
  </si>
  <si>
    <t>МОУ Детский сад №08 п.Кукмор</t>
  </si>
  <si>
    <t>МОУ Детский сад №09 п.Кукмор</t>
  </si>
  <si>
    <t>МОУ Детский сад №10 п.Кукмор</t>
  </si>
  <si>
    <t>МОУ Детский сад№2 с.Лубяны</t>
  </si>
  <si>
    <t>МОУ Детский сад№4 с.Лубяны</t>
  </si>
  <si>
    <t>МОУ ДОУ- д/с села Большой Сардек</t>
  </si>
  <si>
    <t>МОУ Каенсарский детский сад</t>
  </si>
  <si>
    <t>МОУ Каркаусский детский сад</t>
  </si>
  <si>
    <t>МОУ Качимирский детский сад</t>
  </si>
  <si>
    <t>МОУ Киндер Кульский детский сад</t>
  </si>
  <si>
    <t>МОУ Копкинский детский сад</t>
  </si>
  <si>
    <t>МОУ Кошкинский детский сад</t>
  </si>
  <si>
    <t>МОУ Лельвижский детский сад</t>
  </si>
  <si>
    <t>МОУ Люгинский детский сад</t>
  </si>
  <si>
    <t>МОУ Мамаширский детский сад</t>
  </si>
  <si>
    <t>МОУ Манзарасский детский сад №1</t>
  </si>
  <si>
    <t>МОУ Манзарасский детский сад №2</t>
  </si>
  <si>
    <t>МОУ Малочуринский детский сад</t>
  </si>
  <si>
    <t>МОУ Нижне Искубашский детский сад</t>
  </si>
  <si>
    <t>МОУ Нижне-Куморский детский сад</t>
  </si>
  <si>
    <t>МОУ Ныртинский детский сад</t>
  </si>
  <si>
    <t>МОУ Нырьинский детский сад</t>
  </si>
  <si>
    <t>МОУ Олуязский детский сад</t>
  </si>
  <si>
    <t>МОУ Оштарма - Юмьинский детский сад</t>
  </si>
  <si>
    <t>МОУ Поршурский детский сад</t>
  </si>
  <si>
    <t>МОУ Починок-Кучуковский детский сад</t>
  </si>
  <si>
    <t>МОУ Починок-Шеморданский Детский сад</t>
  </si>
  <si>
    <t>МОУ Саз-Тамакский детский сад</t>
  </si>
  <si>
    <t>МОУ Сардекбашский детский сад</t>
  </si>
  <si>
    <t>МОУ Село-Чуринский детский сад</t>
  </si>
  <si>
    <t>МОУ Среднекуморский детский сад</t>
  </si>
  <si>
    <t>МОУ Старо-Юмьинский детский сад</t>
  </si>
  <si>
    <t>МОУ Ташлы Елгинский детский сад</t>
  </si>
  <si>
    <t>МОУ Туркашский детский сад</t>
  </si>
  <si>
    <t>МОУ Уркушский детский сад</t>
  </si>
  <si>
    <t>МОУ Урясьбашский детский сад</t>
  </si>
  <si>
    <t>МОУ Чарлинский детский сад</t>
  </si>
  <si>
    <t>МОУ Чишма-Башский детский сад</t>
  </si>
  <si>
    <t>МОУ Шепшенарский детский сад</t>
  </si>
  <si>
    <t>МОУ Ядыгерьский детский сад</t>
  </si>
  <si>
    <t>МОУ Янцобинский детский сад</t>
  </si>
  <si>
    <t>МОУ Яныльский детский сад</t>
  </si>
  <si>
    <t>МОУ Ятмас Дусаевский детский сад</t>
  </si>
  <si>
    <t>ГСМ</t>
  </si>
  <si>
    <t>ГСМ 308</t>
  </si>
  <si>
    <t>0220242100</t>
  </si>
  <si>
    <t>0220825280</t>
  </si>
  <si>
    <t xml:space="preserve"> ГСМ</t>
  </si>
  <si>
    <t>Норматив на 2016 год, рублей</t>
  </si>
  <si>
    <t xml:space="preserve">ФОТ </t>
  </si>
  <si>
    <t>ГСМ для автобусов</t>
  </si>
  <si>
    <t>План ФХД на 2016 год, рублей</t>
  </si>
</sst>
</file>

<file path=xl/styles.xml><?xml version="1.0" encoding="utf-8"?>
<styleSheet xmlns="http://schemas.openxmlformats.org/spreadsheetml/2006/main">
  <numFmts count="9">
    <numFmt numFmtId="164" formatCode="_-* #,##0.00_р_._-;\-* #,##0.00_р_._-;_-* &quot;-&quot;??_р_._-;_-@_-"/>
    <numFmt numFmtId="165" formatCode="#,##0.0"/>
    <numFmt numFmtId="166" formatCode="0.0"/>
    <numFmt numFmtId="167" formatCode="0.00000"/>
    <numFmt numFmtId="168" formatCode="0.000000"/>
    <numFmt numFmtId="169" formatCode="0.000"/>
    <numFmt numFmtId="170" formatCode="#,##0.000"/>
    <numFmt numFmtId="171" formatCode="#,##0.000000000000"/>
    <numFmt numFmtId="172" formatCode="#,##0.0000000000000000000"/>
  </numFmts>
  <fonts count="63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63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2"/>
      <name val="Tahoma"/>
      <family val="2"/>
      <charset val="204"/>
    </font>
    <font>
      <sz val="8"/>
      <name val="Tahoma"/>
      <family val="2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</font>
    <font>
      <b/>
      <sz val="10"/>
      <color indexed="10"/>
      <name val="Times New Roman"/>
      <family val="1"/>
      <charset val="204"/>
    </font>
    <font>
      <b/>
      <sz val="10"/>
      <color indexed="10"/>
      <name val="Arial Cyr"/>
      <charset val="204"/>
    </font>
    <font>
      <b/>
      <sz val="10"/>
      <color rgb="FF002060"/>
      <name val="Times New Roman"/>
      <family val="1"/>
      <charset val="204"/>
    </font>
    <font>
      <sz val="8"/>
      <name val="Arial Narrow"/>
      <family val="2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b/>
      <sz val="12"/>
      <name val="Tahoma"/>
      <family val="2"/>
      <charset val="204"/>
    </font>
    <font>
      <sz val="8"/>
      <name val="Tahoma"/>
      <family val="2"/>
      <charset val="204"/>
    </font>
    <font>
      <sz val="9"/>
      <name val="Times New Roman"/>
      <family val="1"/>
      <charset val="204"/>
    </font>
    <font>
      <sz val="8"/>
      <color indexed="63"/>
      <name val="Tahoma"/>
      <family val="2"/>
      <charset val="204"/>
    </font>
    <font>
      <sz val="14"/>
      <color theme="0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color indexed="63"/>
      <name val="Tahoma"/>
      <family val="2"/>
      <charset val="204"/>
    </font>
    <font>
      <sz val="9"/>
      <name val="Times New Roman"/>
      <family val="1"/>
      <charset val="204"/>
    </font>
    <font>
      <b/>
      <sz val="12"/>
      <name val="Tahoma"/>
      <family val="2"/>
      <charset val="204"/>
    </font>
    <font>
      <sz val="7"/>
      <name val="Arial CYR"/>
      <family val="2"/>
      <charset val="204"/>
    </font>
    <font>
      <b/>
      <sz val="7"/>
      <color indexed="10"/>
      <name val="Arial Cyr"/>
      <family val="2"/>
      <charset val="204"/>
    </font>
    <font>
      <b/>
      <sz val="5"/>
      <color indexed="10"/>
      <name val="Arial Cyr"/>
      <family val="2"/>
      <charset val="204"/>
    </font>
    <font>
      <sz val="5"/>
      <color indexed="10"/>
      <name val="Arial Cyr"/>
      <family val="2"/>
      <charset val="204"/>
    </font>
    <font>
      <b/>
      <sz val="6"/>
      <name val="Arial Cyr"/>
      <charset val="204"/>
    </font>
    <font>
      <b/>
      <sz val="6"/>
      <color indexed="10"/>
      <name val="Arial Cyr"/>
      <charset val="204"/>
    </font>
    <font>
      <sz val="7"/>
      <color indexed="9"/>
      <name val="Arial Cyr"/>
      <family val="2"/>
      <charset val="204"/>
    </font>
    <font>
      <sz val="7"/>
      <color indexed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61"/>
      </patternFill>
    </fill>
    <fill>
      <patternFill patternType="solid">
        <fgColor indexed="60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15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8" fillId="23" borderId="15" applyNumberFormat="0" applyAlignment="0" applyProtection="0"/>
    <xf numFmtId="0" fontId="48" fillId="23" borderId="15" applyNumberFormat="0" applyAlignment="0" applyProtection="0"/>
    <xf numFmtId="0" fontId="49" fillId="36" borderId="14" applyNumberFormat="0" applyAlignment="0" applyProtection="0"/>
    <xf numFmtId="0" fontId="49" fillId="36" borderId="14" applyNumberFormat="0" applyAlignment="0" applyProtection="0"/>
    <xf numFmtId="0" fontId="50" fillId="36" borderId="15" applyNumberFormat="0" applyAlignment="0" applyProtection="0"/>
    <xf numFmtId="0" fontId="50" fillId="36" borderId="15" applyNumberFormat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37" borderId="20" applyNumberFormat="0" applyAlignment="0" applyProtection="0"/>
    <xf numFmtId="0" fontId="55" fillId="37" borderId="20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" fillId="39" borderId="21" applyNumberFormat="0" applyFont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22">
    <xf numFmtId="0" fontId="0" fillId="0" borderId="0" xfId="0"/>
    <xf numFmtId="0" fontId="3" fillId="0" borderId="0" xfId="1" applyFont="1"/>
    <xf numFmtId="0" fontId="3" fillId="0" borderId="4" xfId="1" applyFont="1" applyBorder="1"/>
    <xf numFmtId="0" fontId="3" fillId="2" borderId="4" xfId="1" applyFont="1" applyFill="1" applyBorder="1" applyAlignment="1" applyProtection="1">
      <alignment horizontal="left"/>
      <protection hidden="1"/>
    </xf>
    <xf numFmtId="4" fontId="3" fillId="0" borderId="4" xfId="1" applyNumberFormat="1" applyFont="1" applyBorder="1"/>
    <xf numFmtId="0" fontId="4" fillId="0" borderId="4" xfId="1" applyFont="1" applyBorder="1"/>
    <xf numFmtId="4" fontId="4" fillId="0" borderId="4" xfId="1" applyNumberFormat="1" applyFont="1" applyBorder="1"/>
    <xf numFmtId="0" fontId="4" fillId="0" borderId="0" xfId="1" applyFont="1"/>
    <xf numFmtId="0" fontId="8" fillId="2" borderId="6" xfId="11" applyNumberFormat="1" applyFont="1" applyFill="1" applyBorder="1" applyAlignment="1" applyProtection="1">
      <alignment vertical="top"/>
    </xf>
    <xf numFmtId="0" fontId="8" fillId="4" borderId="6" xfId="11" applyNumberFormat="1" applyFont="1" applyFill="1" applyBorder="1" applyAlignment="1" applyProtection="1">
      <alignment vertical="top"/>
    </xf>
    <xf numFmtId="4" fontId="3" fillId="0" borderId="0" xfId="1" applyNumberFormat="1" applyFont="1"/>
    <xf numFmtId="4" fontId="4" fillId="0" borderId="0" xfId="1" applyNumberFormat="1" applyFont="1" applyBorder="1"/>
    <xf numFmtId="0" fontId="3" fillId="2" borderId="4" xfId="1" applyFont="1" applyFill="1" applyBorder="1" applyAlignment="1" applyProtection="1">
      <alignment horizontal="right"/>
      <protection hidden="1"/>
    </xf>
    <xf numFmtId="0" fontId="13" fillId="0" borderId="3" xfId="1" applyFont="1" applyBorder="1" applyAlignment="1"/>
    <xf numFmtId="0" fontId="13" fillId="0" borderId="4" xfId="1" applyFont="1" applyBorder="1" applyAlignment="1"/>
    <xf numFmtId="3" fontId="15" fillId="0" borderId="4" xfId="14" applyNumberFormat="1" applyFont="1" applyBorder="1" applyAlignment="1">
      <alignment horizontal="right"/>
    </xf>
    <xf numFmtId="3" fontId="14" fillId="0" borderId="4" xfId="14" applyNumberFormat="1" applyFont="1" applyBorder="1" applyAlignment="1">
      <alignment horizontal="right" vertical="center" wrapText="1"/>
    </xf>
    <xf numFmtId="0" fontId="13" fillId="0" borderId="0" xfId="1" applyFont="1" applyAlignment="1"/>
    <xf numFmtId="0" fontId="13" fillId="0" borderId="0" xfId="1" applyFont="1"/>
    <xf numFmtId="14" fontId="13" fillId="0" borderId="0" xfId="1" applyNumberFormat="1" applyFont="1"/>
    <xf numFmtId="0" fontId="13" fillId="0" borderId="0" xfId="14" applyFont="1" applyAlignment="1">
      <alignment horizontal="center"/>
    </xf>
    <xf numFmtId="0" fontId="13" fillId="0" borderId="0" xfId="14" applyFont="1" applyAlignment="1">
      <alignment horizontal="left"/>
    </xf>
    <xf numFmtId="49" fontId="13" fillId="0" borderId="4" xfId="14" applyNumberFormat="1" applyFont="1" applyBorder="1" applyAlignment="1">
      <alignment horizontal="center" vertical="center" wrapText="1"/>
    </xf>
    <xf numFmtId="2" fontId="13" fillId="0" borderId="4" xfId="14" applyNumberFormat="1" applyFont="1" applyBorder="1" applyAlignment="1">
      <alignment horizontal="center" vertical="center" wrapText="1"/>
    </xf>
    <xf numFmtId="2" fontId="13" fillId="0" borderId="1" xfId="14" applyNumberFormat="1" applyFont="1" applyBorder="1" applyAlignment="1">
      <alignment horizontal="center" vertical="center" wrapText="1"/>
    </xf>
    <xf numFmtId="49" fontId="13" fillId="0" borderId="1" xfId="14" applyNumberFormat="1" applyFont="1" applyBorder="1" applyAlignment="1">
      <alignment horizontal="center" vertical="center" wrapText="1"/>
    </xf>
    <xf numFmtId="2" fontId="13" fillId="0" borderId="2" xfId="14" applyNumberFormat="1" applyFont="1" applyBorder="1" applyAlignment="1">
      <alignment horizontal="center" vertical="center" wrapText="1"/>
    </xf>
    <xf numFmtId="49" fontId="13" fillId="0" borderId="8" xfId="14" applyNumberFormat="1" applyFont="1" applyBorder="1" applyAlignment="1">
      <alignment horizontal="center"/>
    </xf>
    <xf numFmtId="49" fontId="13" fillId="0" borderId="4" xfId="14" applyNumberFormat="1" applyFont="1" applyBorder="1" applyAlignment="1">
      <alignment horizontal="left"/>
    </xf>
    <xf numFmtId="4" fontId="13" fillId="0" borderId="4" xfId="14" applyNumberFormat="1" applyFont="1" applyBorder="1" applyAlignment="1">
      <alignment horizontal="left"/>
    </xf>
    <xf numFmtId="4" fontId="13" fillId="0" borderId="10" xfId="14" applyNumberFormat="1" applyFont="1" applyBorder="1" applyAlignment="1">
      <alignment horizontal="left"/>
    </xf>
    <xf numFmtId="0" fontId="13" fillId="0" borderId="4" xfId="1" applyFont="1" applyBorder="1"/>
    <xf numFmtId="165" fontId="13" fillId="0" borderId="4" xfId="14" applyNumberFormat="1" applyFont="1" applyBorder="1" applyAlignment="1">
      <alignment horizontal="left"/>
    </xf>
    <xf numFmtId="4" fontId="13" fillId="0" borderId="0" xfId="14" applyNumberFormat="1" applyFont="1" applyBorder="1" applyAlignment="1">
      <alignment horizontal="left"/>
    </xf>
    <xf numFmtId="3" fontId="13" fillId="3" borderId="0" xfId="1" applyNumberFormat="1" applyFont="1" applyFill="1"/>
    <xf numFmtId="3" fontId="13" fillId="0" borderId="0" xfId="1" applyNumberFormat="1" applyFont="1"/>
    <xf numFmtId="3" fontId="13" fillId="0" borderId="0" xfId="1" applyNumberFormat="1" applyFont="1" applyAlignment="1"/>
    <xf numFmtId="0" fontId="13" fillId="0" borderId="0" xfId="1" applyFont="1" applyFill="1" applyBorder="1"/>
    <xf numFmtId="0" fontId="19" fillId="3" borderId="4" xfId="16" applyFont="1" applyFill="1" applyBorder="1"/>
    <xf numFmtId="49" fontId="19" fillId="3" borderId="4" xfId="16" applyNumberFormat="1" applyFont="1" applyFill="1" applyBorder="1" applyAlignment="1">
      <alignment horizontal="left" vertical="center"/>
    </xf>
    <xf numFmtId="49" fontId="19" fillId="3" borderId="4" xfId="16" applyNumberFormat="1" applyFont="1" applyFill="1" applyBorder="1" applyAlignment="1">
      <alignment horizontal="left" vertical="center" wrapText="1"/>
    </xf>
    <xf numFmtId="3" fontId="13" fillId="3" borderId="4" xfId="14" applyNumberFormat="1" applyFont="1" applyFill="1" applyBorder="1" applyAlignment="1">
      <alignment horizontal="right"/>
    </xf>
    <xf numFmtId="3" fontId="13" fillId="3" borderId="4" xfId="14" applyNumberFormat="1" applyFont="1" applyFill="1" applyBorder="1" applyAlignment="1">
      <alignment horizontal="right" vertical="center" wrapText="1"/>
    </xf>
    <xf numFmtId="3" fontId="13" fillId="3" borderId="4" xfId="1" applyNumberFormat="1" applyFont="1" applyFill="1" applyBorder="1"/>
    <xf numFmtId="3" fontId="13" fillId="3" borderId="8" xfId="1" applyNumberFormat="1" applyFont="1" applyFill="1" applyBorder="1"/>
    <xf numFmtId="0" fontId="13" fillId="3" borderId="4" xfId="1" applyFont="1" applyFill="1" applyBorder="1"/>
    <xf numFmtId="0" fontId="13" fillId="3" borderId="4" xfId="1" applyFont="1" applyFill="1" applyBorder="1" applyAlignment="1">
      <alignment horizontal="right"/>
    </xf>
    <xf numFmtId="3" fontId="17" fillId="3" borderId="4" xfId="14" applyNumberFormat="1" applyFont="1" applyFill="1" applyBorder="1" applyAlignment="1">
      <alignment horizontal="right"/>
    </xf>
    <xf numFmtId="3" fontId="17" fillId="3" borderId="4" xfId="14" applyNumberFormat="1" applyFont="1" applyFill="1" applyBorder="1" applyAlignment="1">
      <alignment horizontal="right" vertical="center" wrapText="1"/>
    </xf>
    <xf numFmtId="3" fontId="17" fillId="3" borderId="4" xfId="1" applyNumberFormat="1" applyFont="1" applyFill="1" applyBorder="1"/>
    <xf numFmtId="3" fontId="17" fillId="3" borderId="8" xfId="1" applyNumberFormat="1" applyFont="1" applyFill="1" applyBorder="1"/>
    <xf numFmtId="0" fontId="17" fillId="3" borderId="4" xfId="1" applyFont="1" applyFill="1" applyBorder="1"/>
    <xf numFmtId="0" fontId="13" fillId="3" borderId="4" xfId="1" applyFont="1" applyFill="1" applyBorder="1" applyAlignment="1"/>
    <xf numFmtId="49" fontId="13" fillId="3" borderId="4" xfId="15" applyNumberFormat="1" applyFont="1" applyFill="1" applyBorder="1" applyAlignment="1">
      <alignment horizontal="left" vertical="center"/>
    </xf>
    <xf numFmtId="3" fontId="13" fillId="3" borderId="4" xfId="1" applyNumberFormat="1" applyFont="1" applyFill="1" applyBorder="1" applyAlignment="1"/>
    <xf numFmtId="0" fontId="17" fillId="3" borderId="0" xfId="1" applyFont="1" applyFill="1"/>
    <xf numFmtId="49" fontId="18" fillId="3" borderId="12" xfId="21" applyNumberFormat="1" applyFont="1" applyFill="1" applyBorder="1" applyAlignment="1">
      <alignment horizontal="left" vertical="center"/>
    </xf>
    <xf numFmtId="0" fontId="15" fillId="3" borderId="0" xfId="1" applyFont="1" applyFill="1"/>
    <xf numFmtId="0" fontId="0" fillId="3" borderId="0" xfId="0" applyFill="1" applyAlignment="1"/>
    <xf numFmtId="0" fontId="13" fillId="3" borderId="0" xfId="1" applyFont="1" applyFill="1"/>
    <xf numFmtId="0" fontId="5" fillId="0" borderId="0" xfId="21"/>
    <xf numFmtId="49" fontId="13" fillId="3" borderId="11" xfId="14" applyNumberFormat="1" applyFont="1" applyFill="1" applyBorder="1" applyAlignment="1">
      <alignment horizontal="center" vertical="center"/>
    </xf>
    <xf numFmtId="49" fontId="13" fillId="3" borderId="3" xfId="14" applyNumberFormat="1" applyFont="1" applyFill="1" applyBorder="1" applyAlignment="1">
      <alignment horizontal="center" vertical="center"/>
    </xf>
    <xf numFmtId="49" fontId="13" fillId="3" borderId="4" xfId="14" applyNumberFormat="1" applyFont="1" applyFill="1" applyBorder="1" applyAlignment="1">
      <alignment horizontal="center" vertical="center" wrapText="1"/>
    </xf>
    <xf numFmtId="2" fontId="13" fillId="3" borderId="4" xfId="14" applyNumberFormat="1" applyFont="1" applyFill="1" applyBorder="1" applyAlignment="1">
      <alignment horizontal="center" vertical="center" wrapText="1"/>
    </xf>
    <xf numFmtId="2" fontId="13" fillId="3" borderId="1" xfId="14" applyNumberFormat="1" applyFont="1" applyFill="1" applyBorder="1" applyAlignment="1">
      <alignment horizontal="center" vertical="center" wrapText="1"/>
    </xf>
    <xf numFmtId="49" fontId="13" fillId="3" borderId="1" xfId="14" applyNumberFormat="1" applyFont="1" applyFill="1" applyBorder="1" applyAlignment="1">
      <alignment horizontal="center" vertical="center" wrapText="1"/>
    </xf>
    <xf numFmtId="2" fontId="13" fillId="3" borderId="2" xfId="14" applyNumberFormat="1" applyFont="1" applyFill="1" applyBorder="1" applyAlignment="1">
      <alignment horizontal="center" vertical="center" wrapText="1"/>
    </xf>
    <xf numFmtId="0" fontId="13" fillId="3" borderId="3" xfId="1" applyFont="1" applyFill="1" applyBorder="1" applyAlignment="1"/>
    <xf numFmtId="49" fontId="13" fillId="3" borderId="8" xfId="14" applyNumberFormat="1" applyFont="1" applyFill="1" applyBorder="1" applyAlignment="1">
      <alignment horizontal="center"/>
    </xf>
    <xf numFmtId="49" fontId="13" fillId="3" borderId="4" xfId="14" applyNumberFormat="1" applyFont="1" applyFill="1" applyBorder="1" applyAlignment="1">
      <alignment horizontal="left"/>
    </xf>
    <xf numFmtId="4" fontId="13" fillId="3" borderId="4" xfId="14" applyNumberFormat="1" applyFont="1" applyFill="1" applyBorder="1" applyAlignment="1">
      <alignment horizontal="left"/>
    </xf>
    <xf numFmtId="4" fontId="13" fillId="3" borderId="10" xfId="14" applyNumberFormat="1" applyFont="1" applyFill="1" applyBorder="1" applyAlignment="1">
      <alignment horizontal="left"/>
    </xf>
    <xf numFmtId="165" fontId="13" fillId="3" borderId="4" xfId="14" applyNumberFormat="1" applyFont="1" applyFill="1" applyBorder="1" applyAlignment="1">
      <alignment horizontal="left"/>
    </xf>
    <xf numFmtId="0" fontId="13" fillId="3" borderId="0" xfId="1" applyFont="1" applyFill="1" applyAlignment="1"/>
    <xf numFmtId="3" fontId="13" fillId="3" borderId="0" xfId="1" applyNumberFormat="1" applyFont="1" applyFill="1" applyAlignment="1"/>
    <xf numFmtId="0" fontId="13" fillId="3" borderId="0" xfId="1" applyFont="1" applyFill="1" applyBorder="1"/>
    <xf numFmtId="0" fontId="14" fillId="0" borderId="4" xfId="0" applyFont="1" applyBorder="1"/>
    <xf numFmtId="3" fontId="14" fillId="0" borderId="4" xfId="0" applyNumberFormat="1" applyFont="1" applyBorder="1"/>
    <xf numFmtId="0" fontId="16" fillId="0" borderId="4" xfId="0" applyFont="1" applyBorder="1"/>
    <xf numFmtId="3" fontId="20" fillId="3" borderId="4" xfId="14" applyNumberFormat="1" applyFont="1" applyFill="1" applyBorder="1" applyAlignment="1">
      <alignment horizontal="right"/>
    </xf>
    <xf numFmtId="4" fontId="13" fillId="3" borderId="4" xfId="14" applyNumberFormat="1" applyFont="1" applyFill="1" applyBorder="1" applyAlignment="1">
      <alignment horizontal="right"/>
    </xf>
    <xf numFmtId="4" fontId="13" fillId="3" borderId="4" xfId="1" applyNumberFormat="1" applyFont="1" applyFill="1" applyBorder="1"/>
    <xf numFmtId="4" fontId="17" fillId="3" borderId="4" xfId="1" applyNumberFormat="1" applyFont="1" applyFill="1" applyBorder="1"/>
    <xf numFmtId="4" fontId="13" fillId="3" borderId="4" xfId="1" applyNumberFormat="1" applyFont="1" applyFill="1" applyBorder="1" applyAlignment="1"/>
    <xf numFmtId="4" fontId="13" fillId="5" borderId="4" xfId="14" applyNumberFormat="1" applyFont="1" applyFill="1" applyBorder="1" applyAlignment="1">
      <alignment horizontal="right"/>
    </xf>
    <xf numFmtId="3" fontId="13" fillId="5" borderId="4" xfId="14" applyNumberFormat="1" applyFont="1" applyFill="1" applyBorder="1" applyAlignment="1">
      <alignment horizontal="right"/>
    </xf>
    <xf numFmtId="3" fontId="13" fillId="6" borderId="4" xfId="14" applyNumberFormat="1" applyFont="1" applyFill="1" applyBorder="1" applyAlignment="1">
      <alignment horizontal="right"/>
    </xf>
    <xf numFmtId="0" fontId="13" fillId="3" borderId="4" xfId="1" applyFont="1" applyFill="1" applyBorder="1" applyAlignment="1">
      <alignment wrapText="1"/>
    </xf>
    <xf numFmtId="4" fontId="13" fillId="6" borderId="4" xfId="1" applyNumberFormat="1" applyFont="1" applyFill="1" applyBorder="1"/>
    <xf numFmtId="166" fontId="13" fillId="3" borderId="4" xfId="1" applyNumberFormat="1" applyFont="1" applyFill="1" applyBorder="1"/>
    <xf numFmtId="0" fontId="24" fillId="0" borderId="0" xfId="1" applyFont="1"/>
    <xf numFmtId="4" fontId="4" fillId="6" borderId="4" xfId="1" applyNumberFormat="1" applyFont="1" applyFill="1" applyBorder="1"/>
    <xf numFmtId="4" fontId="3" fillId="6" borderId="4" xfId="1" applyNumberFormat="1" applyFont="1" applyFill="1" applyBorder="1"/>
    <xf numFmtId="0" fontId="3" fillId="0" borderId="0" xfId="1" applyFont="1" applyBorder="1"/>
    <xf numFmtId="4" fontId="3" fillId="0" borderId="1" xfId="1" applyNumberFormat="1" applyFont="1" applyBorder="1"/>
    <xf numFmtId="4" fontId="3" fillId="0" borderId="0" xfId="1" applyNumberFormat="1" applyFont="1" applyBorder="1"/>
    <xf numFmtId="0" fontId="3" fillId="0" borderId="0" xfId="1" applyFont="1" applyBorder="1" applyAlignment="1"/>
    <xf numFmtId="0" fontId="4" fillId="0" borderId="3" xfId="1" applyFont="1" applyBorder="1"/>
    <xf numFmtId="4" fontId="4" fillId="0" borderId="3" xfId="1" applyNumberFormat="1" applyFont="1" applyBorder="1"/>
    <xf numFmtId="4" fontId="4" fillId="6" borderId="3" xfId="1" applyNumberFormat="1" applyFont="1" applyFill="1" applyBorder="1"/>
    <xf numFmtId="0" fontId="3" fillId="0" borderId="13" xfId="1" applyFont="1" applyBorder="1" applyAlignment="1"/>
    <xf numFmtId="3" fontId="3" fillId="0" borderId="4" xfId="1" applyNumberFormat="1" applyFont="1" applyBorder="1"/>
    <xf numFmtId="4" fontId="4" fillId="0" borderId="4" xfId="1" applyNumberFormat="1" applyFont="1" applyBorder="1" applyAlignment="1">
      <alignment horizontal="left"/>
    </xf>
    <xf numFmtId="0" fontId="27" fillId="3" borderId="0" xfId="24" applyNumberFormat="1" applyFont="1" applyFill="1" applyBorder="1" applyAlignment="1" applyProtection="1">
      <alignment horizontal="left" vertical="top" wrapText="1"/>
    </xf>
    <xf numFmtId="0" fontId="25" fillId="3" borderId="0" xfId="24" applyFill="1"/>
    <xf numFmtId="0" fontId="29" fillId="3" borderId="5" xfId="24" applyNumberFormat="1" applyFont="1" applyFill="1" applyBorder="1" applyAlignment="1" applyProtection="1">
      <alignment horizontal="left" vertical="center" wrapText="1"/>
    </xf>
    <xf numFmtId="0" fontId="29" fillId="3" borderId="5" xfId="24" applyNumberFormat="1" applyFont="1" applyFill="1" applyBorder="1" applyAlignment="1" applyProtection="1">
      <alignment horizontal="left" vertical="top" wrapText="1"/>
    </xf>
    <xf numFmtId="4" fontId="27" fillId="3" borderId="5" xfId="24" applyNumberFormat="1" applyFont="1" applyFill="1" applyBorder="1" applyAlignment="1" applyProtection="1">
      <alignment horizontal="right" vertical="center" wrapText="1"/>
    </xf>
    <xf numFmtId="3" fontId="27" fillId="3" borderId="5" xfId="24" applyNumberFormat="1" applyFont="1" applyFill="1" applyBorder="1" applyAlignment="1" applyProtection="1">
      <alignment horizontal="right" vertical="center" wrapText="1"/>
    </xf>
    <xf numFmtId="4" fontId="25" fillId="3" borderId="0" xfId="24" applyNumberFormat="1" applyFill="1"/>
    <xf numFmtId="4" fontId="10" fillId="8" borderId="5" xfId="21" applyNumberFormat="1" applyFont="1" applyFill="1" applyBorder="1" applyAlignment="1" applyProtection="1">
      <alignment horizontal="right" vertical="center" wrapText="1"/>
    </xf>
    <xf numFmtId="0" fontId="7" fillId="7" borderId="5" xfId="21" applyNumberFormat="1" applyFont="1" applyFill="1" applyBorder="1" applyAlignment="1" applyProtection="1">
      <alignment horizontal="left" vertical="top" wrapText="1"/>
    </xf>
    <xf numFmtId="0" fontId="10" fillId="0" borderId="0" xfId="21" applyNumberFormat="1" applyFont="1" applyFill="1" applyBorder="1" applyAlignment="1" applyProtection="1">
      <alignment horizontal="left" vertical="top" wrapText="1"/>
    </xf>
    <xf numFmtId="0" fontId="7" fillId="7" borderId="5" xfId="21" applyNumberFormat="1" applyFont="1" applyFill="1" applyBorder="1" applyAlignment="1" applyProtection="1">
      <alignment horizontal="left" vertical="center" wrapText="1"/>
    </xf>
    <xf numFmtId="4" fontId="3" fillId="5" borderId="4" xfId="1" applyNumberFormat="1" applyFont="1" applyFill="1" applyBorder="1"/>
    <xf numFmtId="0" fontId="3" fillId="9" borderId="0" xfId="1" applyFont="1" applyFill="1"/>
    <xf numFmtId="0" fontId="3" fillId="5" borderId="0" xfId="1" applyFont="1" applyFill="1" applyBorder="1"/>
    <xf numFmtId="4" fontId="3" fillId="5" borderId="0" xfId="1" applyNumberFormat="1" applyFont="1" applyFill="1" applyBorder="1"/>
    <xf numFmtId="0" fontId="3" fillId="6" borderId="0" xfId="1" applyFont="1" applyFill="1" applyBorder="1"/>
    <xf numFmtId="4" fontId="3" fillId="6" borderId="0" xfId="1" applyNumberFormat="1" applyFont="1" applyFill="1" applyBorder="1"/>
    <xf numFmtId="4" fontId="3" fillId="3" borderId="0" xfId="1" applyNumberFormat="1" applyFont="1" applyFill="1" applyBorder="1"/>
    <xf numFmtId="0" fontId="3" fillId="4" borderId="0" xfId="1" applyFont="1" applyFill="1" applyBorder="1"/>
    <xf numFmtId="4" fontId="3" fillId="4" borderId="0" xfId="1" applyNumberFormat="1" applyFont="1" applyFill="1" applyBorder="1"/>
    <xf numFmtId="0" fontId="3" fillId="0" borderId="4" xfId="1" applyFont="1" applyBorder="1" applyAlignment="1">
      <alignment horizontal="center" vertical="center" wrapText="1"/>
    </xf>
    <xf numFmtId="0" fontId="31" fillId="0" borderId="0" xfId="0" applyFont="1"/>
    <xf numFmtId="0" fontId="32" fillId="0" borderId="0" xfId="0" applyFont="1"/>
    <xf numFmtId="0" fontId="3" fillId="0" borderId="4" xfId="1" applyFont="1" applyBorder="1" applyAlignment="1">
      <alignment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0" fontId="0" fillId="0" borderId="0" xfId="0" applyFont="1"/>
    <xf numFmtId="0" fontId="30" fillId="0" borderId="0" xfId="0" applyFont="1"/>
    <xf numFmtId="0" fontId="24" fillId="0" borderId="4" xfId="1" applyFont="1" applyBorder="1" applyAlignment="1">
      <alignment vertical="center" wrapText="1"/>
    </xf>
    <xf numFmtId="4" fontId="24" fillId="0" borderId="4" xfId="1" applyNumberFormat="1" applyFont="1" applyBorder="1" applyAlignment="1">
      <alignment vertical="center" wrapText="1"/>
    </xf>
    <xf numFmtId="4" fontId="0" fillId="0" borderId="0" xfId="0" applyNumberFormat="1" applyFont="1"/>
    <xf numFmtId="4" fontId="3" fillId="13" borderId="4" xfId="1" applyNumberFormat="1" applyFont="1" applyFill="1" applyBorder="1" applyAlignment="1">
      <alignment horizontal="center" vertical="center" wrapText="1"/>
    </xf>
    <xf numFmtId="4" fontId="3" fillId="6" borderId="4" xfId="1" applyNumberFormat="1" applyFont="1" applyFill="1" applyBorder="1" applyAlignment="1">
      <alignment horizontal="center" vertical="center" wrapText="1"/>
    </xf>
    <xf numFmtId="0" fontId="34" fillId="3" borderId="0" xfId="27" applyNumberFormat="1" applyFont="1" applyFill="1" applyBorder="1" applyAlignment="1" applyProtection="1">
      <alignment horizontal="left" vertical="top" wrapText="1"/>
    </xf>
    <xf numFmtId="0" fontId="33" fillId="3" borderId="0" xfId="27" applyFill="1"/>
    <xf numFmtId="4" fontId="34" fillId="3" borderId="5" xfId="27" applyNumberFormat="1" applyFont="1" applyFill="1" applyBorder="1" applyAlignment="1" applyProtection="1">
      <alignment horizontal="right" vertical="center" wrapText="1"/>
    </xf>
    <xf numFmtId="0" fontId="35" fillId="3" borderId="5" xfId="27" applyNumberFormat="1" applyFont="1" applyFill="1" applyBorder="1" applyAlignment="1" applyProtection="1">
      <alignment horizontal="left" vertical="top" wrapText="1"/>
    </xf>
    <xf numFmtId="0" fontId="35" fillId="3" borderId="5" xfId="27" applyNumberFormat="1" applyFont="1" applyFill="1" applyBorder="1" applyAlignment="1" applyProtection="1">
      <alignment horizontal="left" vertical="center" wrapText="1"/>
    </xf>
    <xf numFmtId="1" fontId="38" fillId="14" borderId="0" xfId="1" applyNumberFormat="1" applyFont="1" applyFill="1" applyProtection="1">
      <protection locked="0"/>
    </xf>
    <xf numFmtId="0" fontId="38" fillId="14" borderId="0" xfId="1" applyFont="1" applyFill="1" applyProtection="1">
      <protection locked="0"/>
    </xf>
    <xf numFmtId="0" fontId="38" fillId="14" borderId="0" xfId="1" applyNumberFormat="1" applyFont="1" applyFill="1" applyProtection="1">
      <protection locked="0"/>
    </xf>
    <xf numFmtId="0" fontId="38" fillId="14" borderId="0" xfId="1" applyFont="1" applyFill="1" applyAlignment="1" applyProtection="1">
      <alignment horizontal="left"/>
      <protection locked="0"/>
    </xf>
    <xf numFmtId="0" fontId="38" fillId="2" borderId="0" xfId="1" applyFont="1" applyFill="1" applyProtection="1">
      <protection locked="0"/>
    </xf>
    <xf numFmtId="0" fontId="38" fillId="0" borderId="0" xfId="1" applyFont="1" applyProtection="1">
      <protection locked="0"/>
    </xf>
    <xf numFmtId="0" fontId="39" fillId="14" borderId="0" xfId="1" applyFont="1" applyFill="1" applyProtection="1">
      <protection locked="0"/>
    </xf>
    <xf numFmtId="0" fontId="39" fillId="14" borderId="0" xfId="1" applyNumberFormat="1" applyFont="1" applyFill="1" applyProtection="1">
      <protection locked="0"/>
    </xf>
    <xf numFmtId="0" fontId="39" fillId="14" borderId="0" xfId="1" applyFont="1" applyFill="1" applyAlignment="1" applyProtection="1">
      <alignment horizontal="left"/>
      <protection locked="0"/>
    </xf>
    <xf numFmtId="2" fontId="39" fillId="14" borderId="0" xfId="1" applyNumberFormat="1" applyFont="1" applyFill="1" applyProtection="1">
      <protection locked="0"/>
    </xf>
    <xf numFmtId="0" fontId="39" fillId="0" borderId="0" xfId="1" applyFont="1" applyProtection="1">
      <protection locked="0"/>
    </xf>
    <xf numFmtId="0" fontId="38" fillId="15" borderId="9" xfId="1" applyFont="1" applyFill="1" applyBorder="1" applyProtection="1">
      <protection locked="0"/>
    </xf>
    <xf numFmtId="0" fontId="2" fillId="0" borderId="3" xfId="1" applyBorder="1" applyAlignment="1" applyProtection="1">
      <alignment wrapText="1"/>
      <protection locked="0"/>
    </xf>
    <xf numFmtId="0" fontId="40" fillId="2" borderId="4" xfId="1" applyFont="1" applyFill="1" applyBorder="1" applyProtection="1">
      <protection locked="0"/>
    </xf>
    <xf numFmtId="0" fontId="2" fillId="0" borderId="3" xfId="1" applyNumberFormat="1" applyBorder="1" applyAlignment="1" applyProtection="1">
      <alignment wrapText="1"/>
      <protection locked="0"/>
    </xf>
    <xf numFmtId="0" fontId="39" fillId="0" borderId="4" xfId="1" applyFont="1" applyBorder="1" applyAlignment="1" applyProtection="1">
      <alignment horizontal="left"/>
      <protection locked="0"/>
    </xf>
    <xf numFmtId="0" fontId="40" fillId="0" borderId="4" xfId="1" applyFont="1" applyBorder="1" applyProtection="1">
      <protection locked="0"/>
    </xf>
    <xf numFmtId="0" fontId="41" fillId="0" borderId="4" xfId="1" applyFont="1" applyBorder="1" applyProtection="1">
      <protection locked="0"/>
    </xf>
    <xf numFmtId="0" fontId="41" fillId="0" borderId="0" xfId="1" applyFont="1" applyProtection="1">
      <protection locked="0"/>
    </xf>
    <xf numFmtId="49" fontId="2" fillId="0" borderId="10" xfId="1" applyNumberFormat="1" applyBorder="1" applyAlignment="1" applyProtection="1">
      <alignment wrapText="1"/>
      <protection locked="0"/>
    </xf>
    <xf numFmtId="49" fontId="40" fillId="2" borderId="4" xfId="1" applyNumberFormat="1" applyFont="1" applyFill="1" applyBorder="1" applyProtection="1">
      <protection locked="0"/>
    </xf>
    <xf numFmtId="49" fontId="2" fillId="0" borderId="3" xfId="1" applyNumberFormat="1" applyBorder="1" applyAlignment="1" applyProtection="1">
      <alignment wrapText="1"/>
      <protection locked="0"/>
    </xf>
    <xf numFmtId="49" fontId="39" fillId="0" borderId="4" xfId="1" applyNumberFormat="1" applyFont="1" applyBorder="1" applyAlignment="1" applyProtection="1">
      <alignment horizontal="left"/>
      <protection locked="0"/>
    </xf>
    <xf numFmtId="49" fontId="40" fillId="0" borderId="4" xfId="1" applyNumberFormat="1" applyFont="1" applyBorder="1" applyProtection="1">
      <protection locked="0"/>
    </xf>
    <xf numFmtId="49" fontId="41" fillId="0" borderId="4" xfId="1" applyNumberFormat="1" applyFont="1" applyBorder="1" applyProtection="1">
      <protection locked="0"/>
    </xf>
    <xf numFmtId="49" fontId="41" fillId="0" borderId="4" xfId="1" applyNumberFormat="1" applyFont="1" applyBorder="1" applyAlignment="1" applyProtection="1">
      <alignment horizontal="right"/>
      <protection locked="0"/>
    </xf>
    <xf numFmtId="49" fontId="41" fillId="0" borderId="0" xfId="1" applyNumberFormat="1" applyFont="1" applyProtection="1">
      <protection locked="0"/>
    </xf>
    <xf numFmtId="0" fontId="42" fillId="0" borderId="10" xfId="1" applyFont="1" applyBorder="1" applyAlignment="1" applyProtection="1">
      <alignment wrapText="1"/>
      <protection locked="0"/>
    </xf>
    <xf numFmtId="0" fontId="43" fillId="2" borderId="4" xfId="1" applyFont="1" applyFill="1" applyBorder="1" applyProtection="1">
      <protection locked="0"/>
    </xf>
    <xf numFmtId="0" fontId="42" fillId="0" borderId="3" xfId="1" applyNumberFormat="1" applyFont="1" applyBorder="1" applyAlignment="1" applyProtection="1">
      <alignment wrapText="1"/>
      <protection locked="0"/>
    </xf>
    <xf numFmtId="0" fontId="43" fillId="0" borderId="4" xfId="1" applyFont="1" applyBorder="1" applyAlignment="1" applyProtection="1">
      <alignment horizontal="left"/>
      <protection locked="0"/>
    </xf>
    <xf numFmtId="0" fontId="43" fillId="0" borderId="4" xfId="1" applyFont="1" applyBorder="1" applyProtection="1">
      <protection locked="0"/>
    </xf>
    <xf numFmtId="0" fontId="43" fillId="0" borderId="0" xfId="1" applyFont="1" applyProtection="1">
      <protection locked="0"/>
    </xf>
    <xf numFmtId="0" fontId="44" fillId="17" borderId="10" xfId="1" applyFont="1" applyFill="1" applyBorder="1" applyProtection="1">
      <protection locked="0"/>
    </xf>
    <xf numFmtId="0" fontId="39" fillId="17" borderId="4" xfId="1" applyFont="1" applyFill="1" applyBorder="1" applyProtection="1">
      <protection hidden="1"/>
    </xf>
    <xf numFmtId="0" fontId="45" fillId="17" borderId="10" xfId="1" applyFont="1" applyFill="1" applyBorder="1" applyProtection="1">
      <protection locked="0"/>
    </xf>
    <xf numFmtId="0" fontId="45" fillId="17" borderId="3" xfId="1" applyNumberFormat="1" applyFont="1" applyFill="1" applyBorder="1" applyProtection="1">
      <protection locked="0"/>
    </xf>
    <xf numFmtId="0" fontId="39" fillId="17" borderId="4" xfId="1" applyFont="1" applyFill="1" applyBorder="1" applyAlignment="1" applyProtection="1">
      <alignment horizontal="left"/>
      <protection hidden="1"/>
    </xf>
    <xf numFmtId="168" fontId="39" fillId="17" borderId="4" xfId="1" applyNumberFormat="1" applyFont="1" applyFill="1" applyBorder="1" applyProtection="1">
      <protection hidden="1"/>
    </xf>
    <xf numFmtId="0" fontId="39" fillId="17" borderId="4" xfId="1" applyFont="1" applyFill="1" applyBorder="1" applyProtection="1">
      <protection locked="0"/>
    </xf>
    <xf numFmtId="0" fontId="45" fillId="17" borderId="4" xfId="1" applyFont="1" applyFill="1" applyBorder="1" applyProtection="1">
      <protection locked="0"/>
    </xf>
    <xf numFmtId="169" fontId="45" fillId="17" borderId="4" xfId="1" applyNumberFormat="1" applyFont="1" applyFill="1" applyBorder="1" applyProtection="1">
      <protection locked="0"/>
    </xf>
    <xf numFmtId="167" fontId="45" fillId="16" borderId="4" xfId="1" applyNumberFormat="1" applyFont="1" applyFill="1" applyBorder="1" applyProtection="1">
      <protection hidden="1"/>
    </xf>
    <xf numFmtId="0" fontId="45" fillId="0" borderId="0" xfId="1" applyFont="1" applyProtection="1">
      <protection hidden="1"/>
    </xf>
    <xf numFmtId="0" fontId="38" fillId="0" borderId="4" xfId="1" applyFont="1" applyBorder="1" applyProtection="1">
      <protection locked="0"/>
    </xf>
    <xf numFmtId="0" fontId="38" fillId="2" borderId="4" xfId="1" applyFont="1" applyFill="1" applyBorder="1" applyAlignment="1" applyProtection="1">
      <alignment horizontal="center"/>
      <protection hidden="1"/>
    </xf>
    <xf numFmtId="0" fontId="38" fillId="0" borderId="4" xfId="1" applyNumberFormat="1" applyFont="1" applyBorder="1" applyProtection="1">
      <protection locked="0"/>
    </xf>
    <xf numFmtId="0" fontId="39" fillId="0" borderId="4" xfId="1" applyFont="1" applyBorder="1" applyAlignment="1" applyProtection="1">
      <alignment horizontal="left"/>
      <protection hidden="1"/>
    </xf>
    <xf numFmtId="0" fontId="38" fillId="0" borderId="4" xfId="1" applyFont="1" applyBorder="1" applyAlignment="1" applyProtection="1">
      <alignment horizontal="center"/>
      <protection hidden="1"/>
    </xf>
    <xf numFmtId="0" fontId="38" fillId="2" borderId="4" xfId="1" applyFont="1" applyFill="1" applyBorder="1" applyAlignment="1" applyProtection="1">
      <alignment horizontal="center"/>
      <protection locked="0"/>
    </xf>
    <xf numFmtId="0" fontId="39" fillId="0" borderId="4" xfId="1" applyFont="1" applyBorder="1" applyProtection="1">
      <protection locked="0"/>
    </xf>
    <xf numFmtId="1" fontId="38" fillId="15" borderId="4" xfId="1" applyNumberFormat="1" applyFont="1" applyFill="1" applyBorder="1" applyProtection="1">
      <protection hidden="1"/>
    </xf>
    <xf numFmtId="0" fontId="41" fillId="0" borderId="0" xfId="1" applyFont="1" applyProtection="1">
      <protection hidden="1"/>
    </xf>
    <xf numFmtId="0" fontId="38" fillId="2" borderId="4" xfId="1" applyFont="1" applyFill="1" applyBorder="1" applyProtection="1">
      <protection hidden="1"/>
    </xf>
    <xf numFmtId="0" fontId="38" fillId="2" borderId="4" xfId="1" applyFont="1" applyFill="1" applyBorder="1" applyAlignment="1" applyProtection="1">
      <alignment horizontal="left"/>
      <protection hidden="1"/>
    </xf>
    <xf numFmtId="0" fontId="38" fillId="2" borderId="4" xfId="18" applyFont="1" applyFill="1" applyBorder="1" applyAlignment="1" applyProtection="1">
      <protection hidden="1"/>
    </xf>
    <xf numFmtId="166" fontId="38" fillId="0" borderId="4" xfId="1" applyNumberFormat="1" applyFont="1" applyBorder="1" applyProtection="1">
      <protection locked="0"/>
    </xf>
    <xf numFmtId="0" fontId="38" fillId="0" borderId="0" xfId="1" applyFont="1" applyProtection="1">
      <protection hidden="1"/>
    </xf>
    <xf numFmtId="0" fontId="38" fillId="0" borderId="4" xfId="1" quotePrefix="1" applyFont="1" applyBorder="1" applyAlignment="1" applyProtection="1">
      <alignment horizontal="left"/>
      <protection locked="0"/>
    </xf>
    <xf numFmtId="0" fontId="38" fillId="5" borderId="4" xfId="1" applyFont="1" applyFill="1" applyBorder="1" applyAlignment="1" applyProtection="1">
      <alignment horizontal="left"/>
      <protection hidden="1"/>
    </xf>
    <xf numFmtId="0" fontId="38" fillId="3" borderId="4" xfId="1" applyFont="1" applyFill="1" applyBorder="1" applyAlignment="1" applyProtection="1">
      <alignment horizontal="left"/>
      <protection hidden="1"/>
    </xf>
    <xf numFmtId="0" fontId="38" fillId="0" borderId="0" xfId="1" applyNumberFormat="1" applyFont="1" applyProtection="1">
      <protection locked="0"/>
    </xf>
    <xf numFmtId="0" fontId="38" fillId="2" borderId="0" xfId="1" applyFont="1" applyFill="1" applyProtection="1">
      <protection hidden="1"/>
    </xf>
    <xf numFmtId="0" fontId="38" fillId="0" borderId="0" xfId="1" applyFont="1" applyAlignment="1" applyProtection="1">
      <alignment horizontal="left"/>
      <protection hidden="1"/>
    </xf>
    <xf numFmtId="167" fontId="38" fillId="0" borderId="4" xfId="1" applyNumberFormat="1" applyFont="1" applyBorder="1" applyProtection="1">
      <protection locked="0"/>
    </xf>
    <xf numFmtId="0" fontId="3" fillId="0" borderId="0" xfId="1" applyFont="1"/>
    <xf numFmtId="4" fontId="4" fillId="0" borderId="3" xfId="1" applyNumberFormat="1" applyFont="1" applyBorder="1"/>
    <xf numFmtId="0" fontId="3" fillId="0" borderId="0" xfId="1" applyFont="1" applyBorder="1"/>
    <xf numFmtId="4" fontId="4" fillId="0" borderId="4" xfId="1" applyNumberFormat="1" applyFont="1" applyBorder="1"/>
    <xf numFmtId="4" fontId="3" fillId="0" borderId="4" xfId="1" applyNumberFormat="1" applyFont="1" applyBorder="1"/>
    <xf numFmtId="0" fontId="3" fillId="0" borderId="4" xfId="1" applyFont="1" applyBorder="1" applyAlignment="1">
      <alignment horizontal="center" vertical="center" wrapText="1"/>
    </xf>
    <xf numFmtId="4" fontId="3" fillId="4" borderId="4" xfId="1" applyNumberFormat="1" applyFont="1" applyFill="1" applyBorder="1" applyAlignment="1">
      <alignment horizontal="center" vertical="center" wrapText="1"/>
    </xf>
    <xf numFmtId="170" fontId="4" fillId="0" borderId="3" xfId="1" applyNumberFormat="1" applyFont="1" applyBorder="1"/>
    <xf numFmtId="170" fontId="4" fillId="0" borderId="4" xfId="1" applyNumberFormat="1" applyFont="1" applyBorder="1"/>
    <xf numFmtId="170" fontId="3" fillId="0" borderId="4" xfId="1" applyNumberFormat="1" applyFont="1" applyBorder="1"/>
    <xf numFmtId="171" fontId="4" fillId="0" borderId="3" xfId="1" applyNumberFormat="1" applyFont="1" applyBorder="1"/>
    <xf numFmtId="171" fontId="3" fillId="0" borderId="4" xfId="1" applyNumberFormat="1" applyFont="1" applyBorder="1"/>
    <xf numFmtId="172" fontId="3" fillId="0" borderId="4" xfId="1" applyNumberFormat="1" applyFont="1" applyBorder="1"/>
    <xf numFmtId="172" fontId="4" fillId="0" borderId="3" xfId="1" applyNumberFormat="1" applyFont="1" applyBorder="1"/>
    <xf numFmtId="172" fontId="4" fillId="0" borderId="0" xfId="1" applyNumberFormat="1" applyFont="1" applyBorder="1"/>
    <xf numFmtId="171" fontId="4" fillId="0" borderId="0" xfId="1" applyNumberFormat="1" applyFont="1" applyBorder="1"/>
    <xf numFmtId="49" fontId="3" fillId="0" borderId="0" xfId="1" applyNumberFormat="1" applyFont="1"/>
    <xf numFmtId="4" fontId="10" fillId="8" borderId="5" xfId="21" applyNumberFormat="1" applyFont="1" applyFill="1" applyBorder="1" applyAlignment="1" applyProtection="1">
      <alignment horizontal="right" vertical="center" wrapText="1"/>
    </xf>
    <xf numFmtId="0" fontId="7" fillId="7" borderId="5" xfId="21" applyNumberFormat="1" applyFont="1" applyFill="1" applyBorder="1" applyAlignment="1" applyProtection="1">
      <alignment horizontal="left" vertical="top" wrapText="1"/>
    </xf>
    <xf numFmtId="0" fontId="7" fillId="7" borderId="5" xfId="21" applyNumberFormat="1" applyFont="1" applyFill="1" applyBorder="1" applyAlignment="1" applyProtection="1">
      <alignment horizontal="left" vertical="center" wrapText="1"/>
    </xf>
    <xf numFmtId="0" fontId="9" fillId="0" borderId="0" xfId="21" applyNumberFormat="1" applyFont="1" applyFill="1" applyBorder="1" applyAlignment="1" applyProtection="1">
      <alignment horizontal="left" vertical="top" wrapText="1"/>
    </xf>
    <xf numFmtId="0" fontId="10" fillId="0" borderId="0" xfId="21" applyNumberFormat="1" applyFont="1" applyFill="1" applyBorder="1" applyAlignment="1" applyProtection="1">
      <alignment horizontal="left" vertical="center" wrapText="1"/>
    </xf>
    <xf numFmtId="0" fontId="11" fillId="0" borderId="0" xfId="21" applyNumberFormat="1" applyFont="1" applyFill="1" applyBorder="1" applyAlignment="1" applyProtection="1">
      <alignment horizontal="left" vertical="center" wrapText="1"/>
    </xf>
    <xf numFmtId="0" fontId="29" fillId="3" borderId="5" xfId="24" applyNumberFormat="1" applyFont="1" applyFill="1" applyBorder="1" applyAlignment="1" applyProtection="1">
      <alignment horizontal="left" vertical="top" wrapText="1"/>
    </xf>
    <xf numFmtId="0" fontId="29" fillId="3" borderId="5" xfId="24" applyNumberFormat="1" applyFont="1" applyFill="1" applyBorder="1" applyAlignment="1" applyProtection="1">
      <alignment horizontal="left" vertical="center" wrapText="1"/>
    </xf>
    <xf numFmtId="0" fontId="26" fillId="3" borderId="0" xfId="24" applyNumberFormat="1" applyFont="1" applyFill="1" applyBorder="1" applyAlignment="1" applyProtection="1">
      <alignment horizontal="left" vertical="top" wrapText="1"/>
    </xf>
    <xf numFmtId="0" fontId="27" fillId="3" borderId="0" xfId="24" applyNumberFormat="1" applyFont="1" applyFill="1" applyBorder="1" applyAlignment="1" applyProtection="1">
      <alignment horizontal="left" vertical="center" wrapText="1"/>
    </xf>
    <xf numFmtId="0" fontId="28" fillId="3" borderId="0" xfId="24" applyNumberFormat="1" applyFont="1" applyFill="1" applyBorder="1" applyAlignment="1" applyProtection="1">
      <alignment horizontal="left" vertical="center" wrapText="1"/>
    </xf>
    <xf numFmtId="0" fontId="3" fillId="5" borderId="0" xfId="1" applyFont="1" applyFill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3" fillId="12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5" borderId="3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10" borderId="4" xfId="1" applyFont="1" applyFill="1" applyBorder="1" applyAlignment="1">
      <alignment horizontal="center" vertical="center" wrapText="1"/>
    </xf>
    <xf numFmtId="0" fontId="3" fillId="11" borderId="4" xfId="1" applyFont="1" applyFill="1" applyBorder="1" applyAlignment="1">
      <alignment horizontal="center" vertical="center" wrapText="1"/>
    </xf>
    <xf numFmtId="0" fontId="7" fillId="3" borderId="5" xfId="10" applyNumberFormat="1" applyFont="1" applyFill="1" applyBorder="1" applyAlignment="1" applyProtection="1">
      <alignment horizontal="left" vertical="top" wrapText="1"/>
    </xf>
    <xf numFmtId="0" fontId="3" fillId="6" borderId="4" xfId="1" applyFont="1" applyFill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0" fillId="13" borderId="8" xfId="0" applyFont="1" applyFill="1" applyBorder="1" applyAlignment="1">
      <alignment horizontal="center" wrapText="1"/>
    </xf>
    <xf numFmtId="0" fontId="0" fillId="13" borderId="9" xfId="0" applyFont="1" applyFill="1" applyBorder="1" applyAlignment="1">
      <alignment horizontal="center" wrapText="1"/>
    </xf>
    <xf numFmtId="0" fontId="0" fillId="13" borderId="7" xfId="0" applyFont="1" applyFill="1" applyBorder="1" applyAlignment="1">
      <alignment horizontal="center" wrapText="1"/>
    </xf>
    <xf numFmtId="0" fontId="24" fillId="13" borderId="8" xfId="1" applyFont="1" applyFill="1" applyBorder="1" applyAlignment="1">
      <alignment horizontal="center" vertical="center" wrapText="1"/>
    </xf>
    <xf numFmtId="0" fontId="24" fillId="13" borderId="9" xfId="1" applyFont="1" applyFill="1" applyBorder="1" applyAlignment="1">
      <alignment horizontal="center" vertical="center" wrapText="1"/>
    </xf>
    <xf numFmtId="0" fontId="24" fillId="13" borderId="7" xfId="1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 wrapText="1"/>
    </xf>
    <xf numFmtId="0" fontId="0" fillId="6" borderId="9" xfId="0" applyFont="1" applyFill="1" applyBorder="1" applyAlignment="1">
      <alignment horizontal="center" wrapText="1"/>
    </xf>
    <xf numFmtId="0" fontId="0" fillId="6" borderId="7" xfId="0" applyFont="1" applyFill="1" applyBorder="1" applyAlignment="1">
      <alignment horizontal="center" wrapText="1"/>
    </xf>
    <xf numFmtId="0" fontId="24" fillId="6" borderId="8" xfId="1" applyFont="1" applyFill="1" applyBorder="1" applyAlignment="1">
      <alignment horizontal="center" vertical="center" wrapText="1"/>
    </xf>
    <xf numFmtId="0" fontId="24" fillId="6" borderId="9" xfId="1" applyFont="1" applyFill="1" applyBorder="1" applyAlignment="1">
      <alignment horizontal="center" vertical="center" wrapText="1"/>
    </xf>
    <xf numFmtId="0" fontId="24" fillId="6" borderId="7" xfId="1" applyFont="1" applyFill="1" applyBorder="1" applyAlignment="1">
      <alignment horizontal="center" vertical="center" wrapText="1"/>
    </xf>
    <xf numFmtId="0" fontId="24" fillId="4" borderId="8" xfId="1" applyFont="1" applyFill="1" applyBorder="1" applyAlignment="1">
      <alignment horizontal="center" vertical="center" wrapText="1"/>
    </xf>
    <xf numFmtId="0" fontId="24" fillId="4" borderId="9" xfId="1" applyFont="1" applyFill="1" applyBorder="1" applyAlignment="1">
      <alignment horizontal="center" vertical="center" wrapText="1"/>
    </xf>
    <xf numFmtId="0" fontId="24" fillId="4" borderId="7" xfId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5" fillId="3" borderId="5" xfId="27" applyNumberFormat="1" applyFont="1" applyFill="1" applyBorder="1" applyAlignment="1" applyProtection="1">
      <alignment horizontal="left" vertical="top" wrapText="1"/>
    </xf>
    <xf numFmtId="4" fontId="34" fillId="3" borderId="5" xfId="27" applyNumberFormat="1" applyFont="1" applyFill="1" applyBorder="1" applyAlignment="1" applyProtection="1">
      <alignment horizontal="right" vertical="center" wrapText="1"/>
    </xf>
    <xf numFmtId="0" fontId="35" fillId="5" borderId="5" xfId="27" applyNumberFormat="1" applyFont="1" applyFill="1" applyBorder="1" applyAlignment="1" applyProtection="1">
      <alignment horizontal="left" vertical="top" wrapText="1"/>
    </xf>
    <xf numFmtId="0" fontId="35" fillId="3" borderId="5" xfId="27" applyNumberFormat="1" applyFont="1" applyFill="1" applyBorder="1" applyAlignment="1" applyProtection="1">
      <alignment horizontal="left" vertical="center" wrapText="1"/>
    </xf>
    <xf numFmtId="0" fontId="37" fillId="3" borderId="0" xfId="27" applyNumberFormat="1" applyFont="1" applyFill="1" applyBorder="1" applyAlignment="1" applyProtection="1">
      <alignment horizontal="left" vertical="top" wrapText="1"/>
    </xf>
    <xf numFmtId="0" fontId="34" fillId="3" borderId="0" xfId="27" applyNumberFormat="1" applyFont="1" applyFill="1" applyBorder="1" applyAlignment="1" applyProtection="1">
      <alignment horizontal="left" vertical="center" wrapText="1"/>
    </xf>
    <xf numFmtId="0" fontId="36" fillId="3" borderId="0" xfId="27" applyNumberFormat="1" applyFont="1" applyFill="1" applyBorder="1" applyAlignment="1" applyProtection="1">
      <alignment horizontal="left" vertical="center" wrapText="1"/>
    </xf>
    <xf numFmtId="0" fontId="13" fillId="0" borderId="8" xfId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49" fontId="13" fillId="0" borderId="1" xfId="14" applyNumberFormat="1" applyFont="1" applyBorder="1" applyAlignment="1">
      <alignment horizontal="center" vertical="center"/>
    </xf>
    <xf numFmtId="49" fontId="13" fillId="0" borderId="3" xfId="14" applyNumberFormat="1" applyFont="1" applyBorder="1" applyAlignment="1">
      <alignment horizontal="center" vertical="center"/>
    </xf>
    <xf numFmtId="0" fontId="13" fillId="3" borderId="4" xfId="1" applyFont="1" applyFill="1" applyBorder="1" applyAlignment="1">
      <alignment horizontal="center" wrapText="1"/>
    </xf>
    <xf numFmtId="2" fontId="13" fillId="3" borderId="8" xfId="14" applyNumberFormat="1" applyFont="1" applyFill="1" applyBorder="1" applyAlignment="1">
      <alignment horizontal="center" vertical="center" wrapText="1"/>
    </xf>
    <xf numFmtId="2" fontId="13" fillId="3" borderId="9" xfId="14" applyNumberFormat="1" applyFont="1" applyFill="1" applyBorder="1" applyAlignment="1">
      <alignment horizontal="center" vertical="center" wrapText="1"/>
    </xf>
    <xf numFmtId="2" fontId="13" fillId="3" borderId="7" xfId="14" applyNumberFormat="1" applyFont="1" applyFill="1" applyBorder="1" applyAlignment="1">
      <alignment horizontal="center" vertical="center" wrapText="1"/>
    </xf>
    <xf numFmtId="49" fontId="13" fillId="0" borderId="8" xfId="14" applyNumberFormat="1" applyFont="1" applyBorder="1" applyAlignment="1">
      <alignment horizontal="center" vertical="center"/>
    </xf>
    <xf numFmtId="49" fontId="13" fillId="0" borderId="9" xfId="14" applyNumberFormat="1" applyFont="1" applyBorder="1" applyAlignment="1">
      <alignment horizontal="center" vertical="center"/>
    </xf>
    <xf numFmtId="49" fontId="13" fillId="0" borderId="7" xfId="14" applyNumberFormat="1" applyFont="1" applyBorder="1" applyAlignment="1">
      <alignment horizontal="center" vertical="center"/>
    </xf>
    <xf numFmtId="2" fontId="13" fillId="0" borderId="8" xfId="14" applyNumberFormat="1" applyFont="1" applyBorder="1" applyAlignment="1">
      <alignment horizontal="center" vertical="center" wrapText="1"/>
    </xf>
    <xf numFmtId="2" fontId="13" fillId="0" borderId="9" xfId="14" applyNumberFormat="1" applyFont="1" applyBorder="1" applyAlignment="1">
      <alignment horizontal="center" vertical="center" wrapText="1"/>
    </xf>
    <xf numFmtId="2" fontId="13" fillId="0" borderId="7" xfId="14" applyNumberFormat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/>
    </xf>
    <xf numFmtId="49" fontId="13" fillId="3" borderId="4" xfId="14" applyNumberFormat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wrapText="1"/>
    </xf>
    <xf numFmtId="0" fontId="13" fillId="3" borderId="3" xfId="1" applyFont="1" applyFill="1" applyBorder="1" applyAlignment="1">
      <alignment horizontal="center" wrapText="1"/>
    </xf>
    <xf numFmtId="0" fontId="13" fillId="0" borderId="1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49" fontId="13" fillId="3" borderId="8" xfId="14" applyNumberFormat="1" applyFont="1" applyFill="1" applyBorder="1" applyAlignment="1">
      <alignment horizontal="center" vertical="center" wrapText="1"/>
    </xf>
    <xf numFmtId="49" fontId="13" fillId="3" borderId="9" xfId="14" applyNumberFormat="1" applyFont="1" applyFill="1" applyBorder="1" applyAlignment="1">
      <alignment horizontal="center" vertical="center" wrapText="1"/>
    </xf>
    <xf numFmtId="49" fontId="13" fillId="3" borderId="7" xfId="14" applyNumberFormat="1" applyFont="1" applyFill="1" applyBorder="1" applyAlignment="1">
      <alignment horizontal="center" vertical="center" wrapText="1"/>
    </xf>
    <xf numFmtId="49" fontId="13" fillId="3" borderId="1" xfId="14" applyNumberFormat="1" applyFont="1" applyFill="1" applyBorder="1" applyAlignment="1">
      <alignment horizontal="center" vertical="center" wrapText="1"/>
    </xf>
    <xf numFmtId="49" fontId="13" fillId="3" borderId="3" xfId="14" applyNumberFormat="1" applyFont="1" applyFill="1" applyBorder="1" applyAlignment="1">
      <alignment horizontal="center" vertical="center" wrapText="1"/>
    </xf>
    <xf numFmtId="49" fontId="13" fillId="3" borderId="1" xfId="14" applyNumberFormat="1" applyFont="1" applyFill="1" applyBorder="1" applyAlignment="1">
      <alignment horizontal="center" vertical="center"/>
    </xf>
    <xf numFmtId="49" fontId="13" fillId="3" borderId="3" xfId="14" applyNumberFormat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0" fontId="13" fillId="3" borderId="9" xfId="1" applyFont="1" applyFill="1" applyBorder="1" applyAlignment="1">
      <alignment horizontal="center" vertical="center"/>
    </xf>
    <xf numFmtId="0" fontId="38" fillId="15" borderId="1" xfId="1" applyFont="1" applyFill="1" applyBorder="1" applyAlignment="1" applyProtection="1">
      <alignment wrapText="1"/>
      <protection locked="0"/>
    </xf>
    <xf numFmtId="0" fontId="2" fillId="15" borderId="2" xfId="1" applyFill="1" applyBorder="1" applyAlignment="1" applyProtection="1">
      <alignment wrapText="1"/>
      <protection locked="0"/>
    </xf>
    <xf numFmtId="0" fontId="2" fillId="15" borderId="3" xfId="1" applyFill="1" applyBorder="1" applyAlignment="1" applyProtection="1">
      <alignment wrapText="1"/>
      <protection locked="0"/>
    </xf>
    <xf numFmtId="0" fontId="38" fillId="15" borderId="1" xfId="1" applyNumberFormat="1" applyFont="1" applyFill="1" applyBorder="1" applyAlignment="1" applyProtection="1">
      <alignment wrapText="1"/>
      <protection locked="0"/>
    </xf>
    <xf numFmtId="0" fontId="2" fillId="15" borderId="2" xfId="1" applyNumberFormat="1" applyFill="1" applyBorder="1" applyAlignment="1" applyProtection="1">
      <alignment wrapText="1"/>
      <protection locked="0"/>
    </xf>
    <xf numFmtId="0" fontId="2" fillId="15" borderId="3" xfId="1" applyNumberFormat="1" applyFill="1" applyBorder="1" applyAlignment="1" applyProtection="1">
      <alignment wrapText="1"/>
      <protection locked="0"/>
    </xf>
    <xf numFmtId="0" fontId="38" fillId="15" borderId="1" xfId="1" applyFont="1" applyFill="1" applyBorder="1" applyAlignment="1" applyProtection="1">
      <alignment horizontal="left" wrapText="1"/>
      <protection locked="0"/>
    </xf>
    <xf numFmtId="0" fontId="2" fillId="15" borderId="2" xfId="1" applyFill="1" applyBorder="1" applyAlignment="1" applyProtection="1">
      <alignment horizontal="left" wrapText="1"/>
      <protection locked="0"/>
    </xf>
    <xf numFmtId="0" fontId="2" fillId="15" borderId="3" xfId="1" applyFill="1" applyBorder="1" applyAlignment="1" applyProtection="1">
      <alignment horizontal="left" wrapText="1"/>
      <protection locked="0"/>
    </xf>
    <xf numFmtId="0" fontId="38" fillId="15" borderId="1" xfId="1" quotePrefix="1" applyFont="1" applyFill="1" applyBorder="1" applyAlignment="1" applyProtection="1">
      <alignment horizontal="left" wrapText="1"/>
      <protection locked="0"/>
    </xf>
    <xf numFmtId="0" fontId="38" fillId="15" borderId="1" xfId="1" applyFont="1" applyFill="1" applyBorder="1" applyAlignment="1" applyProtection="1">
      <alignment horizontal="center" vertical="center" wrapText="1"/>
      <protection locked="0"/>
    </xf>
    <xf numFmtId="0" fontId="38" fillId="15" borderId="2" xfId="1" applyFont="1" applyFill="1" applyBorder="1" applyAlignment="1" applyProtection="1">
      <alignment horizontal="center" vertical="center" wrapText="1"/>
      <protection locked="0"/>
    </xf>
    <xf numFmtId="0" fontId="38" fillId="15" borderId="3" xfId="1" applyFont="1" applyFill="1" applyBorder="1" applyAlignment="1" applyProtection="1">
      <alignment horizontal="center" vertical="center" wrapText="1"/>
      <protection locked="0"/>
    </xf>
  </cellXfs>
  <cellStyles count="115">
    <cellStyle name="20% - Акцент1 2" xfId="28"/>
    <cellStyle name="20% - Акцент1 2 2" xfId="29"/>
    <cellStyle name="20% - Акцент2 2" xfId="30"/>
    <cellStyle name="20% - Акцент2 2 2" xfId="31"/>
    <cellStyle name="20% - Акцент3 2" xfId="32"/>
    <cellStyle name="20% - Акцент3 2 2" xfId="33"/>
    <cellStyle name="20% - Акцент4 2" xfId="34"/>
    <cellStyle name="20% - Акцент4 2 2" xfId="35"/>
    <cellStyle name="20% - Акцент5 2" xfId="36"/>
    <cellStyle name="20% - Акцент5 2 2" xfId="37"/>
    <cellStyle name="20% - Акцент6 2" xfId="38"/>
    <cellStyle name="20% - Акцент6 2 2" xfId="39"/>
    <cellStyle name="40% - Акцент1 2" xfId="40"/>
    <cellStyle name="40% - Акцент1 2 2" xfId="41"/>
    <cellStyle name="40% - Акцент2 2" xfId="42"/>
    <cellStyle name="40% - Акцент2 2 2" xfId="43"/>
    <cellStyle name="40% - Акцент3 2" xfId="44"/>
    <cellStyle name="40% - Акцент3 2 2" xfId="45"/>
    <cellStyle name="40% - Акцент4 2" xfId="46"/>
    <cellStyle name="40% - Акцент4 2 2" xfId="47"/>
    <cellStyle name="40% - Акцент5 2" xfId="48"/>
    <cellStyle name="40% - Акцент5 2 2" xfId="49"/>
    <cellStyle name="40% - Акцент6 2" xfId="50"/>
    <cellStyle name="40% - Акцент6 2 2" xfId="51"/>
    <cellStyle name="60% - Акцент1 2" xfId="52"/>
    <cellStyle name="60% - Акцент1 2 2" xfId="53"/>
    <cellStyle name="60% - Акцент2 2" xfId="54"/>
    <cellStyle name="60% - Акцент2 2 2" xfId="55"/>
    <cellStyle name="60% - Акцент3 2" xfId="56"/>
    <cellStyle name="60% - Акцент3 2 2" xfId="57"/>
    <cellStyle name="60% - Акцент4 2" xfId="58"/>
    <cellStyle name="60% - Акцент4 2 2" xfId="59"/>
    <cellStyle name="60% - Акцент5 2" xfId="60"/>
    <cellStyle name="60% - Акцент5 2 2" xfId="61"/>
    <cellStyle name="60% - Акцент6 2" xfId="62"/>
    <cellStyle name="60% - Акцент6 2 2" xfId="63"/>
    <cellStyle name="Акцент1 2" xfId="64"/>
    <cellStyle name="Акцент1 2 2" xfId="65"/>
    <cellStyle name="Акцент2 2" xfId="66"/>
    <cellStyle name="Акцент2 2 2" xfId="67"/>
    <cellStyle name="Акцент3 2" xfId="68"/>
    <cellStyle name="Акцент3 2 2" xfId="69"/>
    <cellStyle name="Акцент4 2" xfId="70"/>
    <cellStyle name="Акцент4 2 2" xfId="71"/>
    <cellStyle name="Акцент5 2" xfId="72"/>
    <cellStyle name="Акцент5 2 2" xfId="73"/>
    <cellStyle name="Акцент6 2" xfId="74"/>
    <cellStyle name="Акцент6 2 2" xfId="75"/>
    <cellStyle name="Ввод  2" xfId="76"/>
    <cellStyle name="Ввод  2 2" xfId="77"/>
    <cellStyle name="Вывод 2" xfId="78"/>
    <cellStyle name="Вывод 2 2" xfId="79"/>
    <cellStyle name="Вычисление 2" xfId="80"/>
    <cellStyle name="Вычисление 2 2" xfId="81"/>
    <cellStyle name="Заголовок 1 2" xfId="82"/>
    <cellStyle name="Заголовок 1 2 2" xfId="83"/>
    <cellStyle name="Заголовок 2 2" xfId="84"/>
    <cellStyle name="Заголовок 2 2 2" xfId="85"/>
    <cellStyle name="Заголовок 3 2" xfId="86"/>
    <cellStyle name="Заголовок 3 2 2" xfId="87"/>
    <cellStyle name="Заголовок 4 2" xfId="88"/>
    <cellStyle name="Заголовок 4 2 2" xfId="89"/>
    <cellStyle name="Итог 2" xfId="90"/>
    <cellStyle name="Итог 2 2" xfId="91"/>
    <cellStyle name="Контрольная ячейка 2" xfId="92"/>
    <cellStyle name="Контрольная ячейка 2 2" xfId="93"/>
    <cellStyle name="Название 2" xfId="94"/>
    <cellStyle name="Название 2 2" xfId="95"/>
    <cellStyle name="Нейтральный 2" xfId="96"/>
    <cellStyle name="Нейтральный 2 2" xfId="97"/>
    <cellStyle name="Обычный" xfId="0" builtinId="0"/>
    <cellStyle name="Обычный 10" xfId="21"/>
    <cellStyle name="Обычный 11" xfId="23"/>
    <cellStyle name="Обычный 11 2" xfId="109"/>
    <cellStyle name="Обычный 12" xfId="24"/>
    <cellStyle name="Обычный 12 2" xfId="110"/>
    <cellStyle name="Обычный 13" xfId="25"/>
    <cellStyle name="Обычный 13 2" xfId="111"/>
    <cellStyle name="Обычный 14" xfId="26"/>
    <cellStyle name="Обычный 14 2" xfId="112"/>
    <cellStyle name="Обычный 15" xfId="27"/>
    <cellStyle name="Обычный 15 2" xfId="113"/>
    <cellStyle name="Обычный 2" xfId="1"/>
    <cellStyle name="Обычный 2 2" xfId="2"/>
    <cellStyle name="Обычный 2 2 2" xfId="3"/>
    <cellStyle name="Обычный 2 3" xfId="18"/>
    <cellStyle name="Обычный 2 4" xfId="20"/>
    <cellStyle name="Обычный 2 5" xfId="19"/>
    <cellStyle name="Обычный 3" xfId="4"/>
    <cellStyle name="Обычный 3 2" xfId="5"/>
    <cellStyle name="Обычный 4" xfId="6"/>
    <cellStyle name="Обычный 5" xfId="7"/>
    <cellStyle name="Обычный 6" xfId="10"/>
    <cellStyle name="Обычный 6 2" xfId="17"/>
    <cellStyle name="Обычный 6 3" xfId="22"/>
    <cellStyle name="Обычный 7" xfId="12"/>
    <cellStyle name="Обычный 8" xfId="13"/>
    <cellStyle name="Обычный 9" xfId="16"/>
    <cellStyle name="Обычный 9 2" xfId="114"/>
    <cellStyle name="Обычный_ацк213" xfId="15"/>
    <cellStyle name="Обычный_Лист1" xfId="14"/>
    <cellStyle name="Обычный_Лист2" xfId="11"/>
    <cellStyle name="Плохой 2" xfId="98"/>
    <cellStyle name="Плохой 2 2" xfId="99"/>
    <cellStyle name="Пояснение 2" xfId="100"/>
    <cellStyle name="Пояснение 2 2" xfId="101"/>
    <cellStyle name="Примечание 2" xfId="102"/>
    <cellStyle name="Связанная ячейка 2" xfId="103"/>
    <cellStyle name="Связанная ячейка 2 2" xfId="104"/>
    <cellStyle name="Текст предупреждения 2" xfId="105"/>
    <cellStyle name="Текст предупреждения 2 2" xfId="106"/>
    <cellStyle name="Финансовый 2" xfId="8"/>
    <cellStyle name="Финансовый 2 2" xfId="9"/>
    <cellStyle name="Хороший 2" xfId="107"/>
    <cellStyle name="Хороший 2 2" xfId="108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Drop" dropLines="30" dropStyle="combo" dx="16" fmlaLink="$G$1" fmlaRange="зпшк!$B$10:$B$41" noThreeD="1" val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41"/>
  <sheetViews>
    <sheetView showGridLines="0" topLeftCell="BD7" workbookViewId="0">
      <selection activeCell="BD7" sqref="A1:XFD1048576"/>
    </sheetView>
  </sheetViews>
  <sheetFormatPr defaultColWidth="8.88671875" defaultRowHeight="12.75"/>
  <cols>
    <col min="1" max="3" width="1.5546875" style="60" customWidth="1"/>
    <col min="4" max="4" width="0.88671875" style="60" customWidth="1"/>
    <col min="5" max="5" width="0.6640625" style="60" customWidth="1"/>
    <col min="6" max="8" width="1.5546875" style="60" customWidth="1"/>
    <col min="9" max="9" width="0.21875" style="60" customWidth="1"/>
    <col min="10" max="10" width="1.33203125" style="60" customWidth="1"/>
    <col min="11" max="12" width="1.5546875" style="60" customWidth="1"/>
    <col min="13" max="13" width="1.109375" style="60" customWidth="1"/>
    <col min="14" max="14" width="0.44140625" style="60" customWidth="1"/>
    <col min="15" max="17" width="1.5546875" style="60" customWidth="1"/>
    <col min="18" max="18" width="0.44140625" style="60" customWidth="1"/>
    <col min="19" max="19" width="1.109375" style="60" customWidth="1"/>
    <col min="20" max="21" width="1.5546875" style="60" customWidth="1"/>
    <col min="22" max="22" width="1.33203125" style="60" customWidth="1"/>
    <col min="23" max="23" width="0.21875" style="60" customWidth="1"/>
    <col min="24" max="26" width="1.5546875" style="60" customWidth="1"/>
    <col min="27" max="27" width="0.6640625" style="60" customWidth="1"/>
    <col min="28" max="28" width="0.88671875" style="60" customWidth="1"/>
    <col min="29" max="34" width="1.5546875" style="60" customWidth="1"/>
    <col min="35" max="35" width="0.88671875" style="60" customWidth="1"/>
    <col min="36" max="36" width="8.88671875" style="60" customWidth="1"/>
    <col min="37" max="37" width="2.21875" style="60" customWidth="1"/>
    <col min="38" max="43" width="11.109375" style="60" customWidth="1"/>
    <col min="44" max="44" width="5.77734375" style="60" customWidth="1"/>
    <col min="45" max="45" width="5.33203125" style="60" customWidth="1"/>
    <col min="46" max="49" width="11.109375" style="60" customWidth="1"/>
    <col min="50" max="50" width="18" style="60" customWidth="1"/>
    <col min="51" max="65" width="11.109375" style="60" customWidth="1"/>
    <col min="66" max="16384" width="8.88671875" style="60"/>
  </cols>
  <sheetData>
    <row r="1" spans="1:65" ht="18.2" customHeight="1">
      <c r="A1" s="227" t="s">
        <v>271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</row>
    <row r="2" spans="1:65" ht="18.2" customHeight="1">
      <c r="A2" s="228" t="s">
        <v>434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</row>
    <row r="3" spans="1:65" ht="18.2" customHeight="1">
      <c r="A3" s="228" t="s">
        <v>272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</row>
    <row r="4" spans="1:65" ht="18.2" customHeight="1">
      <c r="A4" s="228" t="s">
        <v>411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</row>
    <row r="5" spans="1:65" ht="18.2" customHeight="1">
      <c r="A5" s="229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</row>
    <row r="6" spans="1:65" ht="14.45" customHeight="1">
      <c r="A6" s="114" t="s">
        <v>273</v>
      </c>
      <c r="B6" s="114" t="s">
        <v>141</v>
      </c>
      <c r="C6" s="114" t="s">
        <v>142</v>
      </c>
      <c r="D6" s="226" t="s">
        <v>274</v>
      </c>
      <c r="E6" s="226"/>
      <c r="F6" s="114" t="s">
        <v>275</v>
      </c>
      <c r="G6" s="114" t="s">
        <v>276</v>
      </c>
      <c r="H6" s="114" t="s">
        <v>277</v>
      </c>
      <c r="I6" s="226" t="s">
        <v>279</v>
      </c>
      <c r="J6" s="226"/>
      <c r="K6" s="114" t="s">
        <v>280</v>
      </c>
      <c r="L6" s="114" t="s">
        <v>281</v>
      </c>
      <c r="M6" s="226" t="s">
        <v>282</v>
      </c>
      <c r="N6" s="226"/>
      <c r="O6" s="114" t="s">
        <v>283</v>
      </c>
      <c r="P6" s="114" t="s">
        <v>284</v>
      </c>
      <c r="Q6" s="114" t="s">
        <v>366</v>
      </c>
      <c r="R6" s="226" t="s">
        <v>288</v>
      </c>
      <c r="S6" s="226"/>
      <c r="T6" s="114" t="s">
        <v>290</v>
      </c>
      <c r="U6" s="114" t="s">
        <v>291</v>
      </c>
      <c r="V6" s="226" t="s">
        <v>292</v>
      </c>
      <c r="W6" s="226"/>
      <c r="X6" s="114" t="s">
        <v>293</v>
      </c>
      <c r="Y6" s="114" t="s">
        <v>295</v>
      </c>
      <c r="Z6" s="114" t="s">
        <v>300</v>
      </c>
      <c r="AA6" s="226" t="s">
        <v>301</v>
      </c>
      <c r="AB6" s="226"/>
      <c r="AC6" s="114" t="s">
        <v>303</v>
      </c>
      <c r="AD6" s="114" t="s">
        <v>294</v>
      </c>
      <c r="AE6" s="114" t="s">
        <v>298</v>
      </c>
      <c r="AF6" s="114" t="s">
        <v>296</v>
      </c>
      <c r="AG6" s="114" t="s">
        <v>297</v>
      </c>
      <c r="AH6" s="114" t="s">
        <v>299</v>
      </c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</row>
    <row r="7" spans="1:65" ht="14.45" customHeight="1">
      <c r="A7" s="113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225" t="s">
        <v>79</v>
      </c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</row>
    <row r="8" spans="1:65" ht="59.25" customHeight="1">
      <c r="A8" s="226" t="s">
        <v>80</v>
      </c>
      <c r="B8" s="226"/>
      <c r="C8" s="226"/>
      <c r="D8" s="226"/>
      <c r="E8" s="226" t="s">
        <v>81</v>
      </c>
      <c r="F8" s="226"/>
      <c r="G8" s="226"/>
      <c r="H8" s="226"/>
      <c r="I8" s="226"/>
      <c r="J8" s="226" t="s">
        <v>82</v>
      </c>
      <c r="K8" s="226"/>
      <c r="L8" s="226"/>
      <c r="M8" s="226"/>
      <c r="N8" s="226" t="s">
        <v>83</v>
      </c>
      <c r="O8" s="226"/>
      <c r="P8" s="226"/>
      <c r="Q8" s="226"/>
      <c r="R8" s="226"/>
      <c r="S8" s="226" t="s">
        <v>84</v>
      </c>
      <c r="T8" s="226"/>
      <c r="U8" s="226"/>
      <c r="V8" s="226"/>
      <c r="W8" s="226" t="s">
        <v>85</v>
      </c>
      <c r="X8" s="226"/>
      <c r="Y8" s="226"/>
      <c r="Z8" s="226"/>
      <c r="AA8" s="226"/>
      <c r="AB8" s="226" t="s">
        <v>304</v>
      </c>
      <c r="AC8" s="226"/>
      <c r="AD8" s="226"/>
      <c r="AE8" s="226"/>
      <c r="AF8" s="226" t="s">
        <v>86</v>
      </c>
      <c r="AG8" s="226"/>
      <c r="AH8" s="226"/>
      <c r="AI8" s="226"/>
      <c r="AJ8" s="225" t="s">
        <v>273</v>
      </c>
      <c r="AK8" s="225"/>
      <c r="AL8" s="112" t="s">
        <v>141</v>
      </c>
      <c r="AM8" s="112" t="s">
        <v>142</v>
      </c>
      <c r="AN8" s="112" t="s">
        <v>274</v>
      </c>
      <c r="AO8" s="112" t="s">
        <v>275</v>
      </c>
      <c r="AP8" s="112" t="s">
        <v>276</v>
      </c>
      <c r="AQ8" s="112" t="s">
        <v>277</v>
      </c>
      <c r="AR8" s="225" t="s">
        <v>279</v>
      </c>
      <c r="AS8" s="225"/>
      <c r="AT8" s="112" t="s">
        <v>280</v>
      </c>
      <c r="AU8" s="112" t="s">
        <v>281</v>
      </c>
      <c r="AV8" s="112" t="s">
        <v>282</v>
      </c>
      <c r="AW8" s="112" t="s">
        <v>283</v>
      </c>
      <c r="AX8" s="112" t="s">
        <v>284</v>
      </c>
      <c r="AY8" s="112" t="s">
        <v>366</v>
      </c>
      <c r="AZ8" s="112" t="s">
        <v>288</v>
      </c>
      <c r="BA8" s="112" t="s">
        <v>290</v>
      </c>
      <c r="BB8" s="112" t="s">
        <v>291</v>
      </c>
      <c r="BC8" s="112" t="s">
        <v>292</v>
      </c>
      <c r="BD8" s="112" t="s">
        <v>293</v>
      </c>
      <c r="BE8" s="112" t="s">
        <v>295</v>
      </c>
      <c r="BF8" s="112" t="s">
        <v>300</v>
      </c>
      <c r="BG8" s="112" t="s">
        <v>301</v>
      </c>
      <c r="BH8" s="112" t="s">
        <v>303</v>
      </c>
      <c r="BI8" s="112" t="s">
        <v>294</v>
      </c>
      <c r="BJ8" s="112" t="s">
        <v>298</v>
      </c>
      <c r="BK8" s="112" t="s">
        <v>296</v>
      </c>
      <c r="BL8" s="112" t="s">
        <v>297</v>
      </c>
      <c r="BM8" s="112" t="s">
        <v>299</v>
      </c>
    </row>
    <row r="9" spans="1:65" ht="14.45" customHeight="1">
      <c r="A9" s="225" t="s">
        <v>87</v>
      </c>
      <c r="B9" s="225"/>
      <c r="C9" s="225"/>
      <c r="D9" s="225"/>
      <c r="E9" s="225" t="s">
        <v>88</v>
      </c>
      <c r="F9" s="225"/>
      <c r="G9" s="225"/>
      <c r="H9" s="225"/>
      <c r="I9" s="225"/>
      <c r="J9" s="225" t="s">
        <v>89</v>
      </c>
      <c r="K9" s="225"/>
      <c r="L9" s="225"/>
      <c r="M9" s="225"/>
      <c r="N9" s="225" t="s">
        <v>90</v>
      </c>
      <c r="O9" s="225"/>
      <c r="P9" s="225"/>
      <c r="Q9" s="225"/>
      <c r="R9" s="225"/>
      <c r="S9" s="225" t="s">
        <v>91</v>
      </c>
      <c r="T9" s="225"/>
      <c r="U9" s="225"/>
      <c r="V9" s="225"/>
      <c r="W9" s="225" t="s">
        <v>92</v>
      </c>
      <c r="X9" s="225"/>
      <c r="Y9" s="225"/>
      <c r="Z9" s="225"/>
      <c r="AA9" s="225"/>
      <c r="AB9" s="225" t="s">
        <v>206</v>
      </c>
      <c r="AC9" s="225"/>
      <c r="AD9" s="225"/>
      <c r="AE9" s="225"/>
      <c r="AF9" s="225" t="s">
        <v>368</v>
      </c>
      <c r="AG9" s="225"/>
      <c r="AH9" s="225"/>
      <c r="AI9" s="225"/>
      <c r="AJ9" s="224">
        <v>17</v>
      </c>
      <c r="AK9" s="224"/>
      <c r="AL9" s="111">
        <v>39</v>
      </c>
      <c r="AM9" s="111">
        <v>763</v>
      </c>
      <c r="AN9" s="111">
        <v>163.13</v>
      </c>
      <c r="AO9" s="111">
        <v>339108</v>
      </c>
      <c r="AP9" s="111">
        <v>0</v>
      </c>
      <c r="AQ9" s="111">
        <v>13657840</v>
      </c>
      <c r="AR9" s="224">
        <v>0</v>
      </c>
      <c r="AS9" s="224"/>
      <c r="AT9" s="111">
        <v>512581.16</v>
      </c>
      <c r="AU9" s="111">
        <v>112110</v>
      </c>
      <c r="AV9" s="111">
        <v>2334</v>
      </c>
      <c r="AW9" s="111">
        <v>2334</v>
      </c>
      <c r="AX9" s="111">
        <v>1250507.26</v>
      </c>
      <c r="AY9" s="111">
        <v>889255.58</v>
      </c>
      <c r="AZ9" s="111">
        <v>16757786.720000001</v>
      </c>
      <c r="BA9" s="111">
        <v>3099946.72</v>
      </c>
      <c r="BB9" s="111">
        <v>0</v>
      </c>
      <c r="BC9" s="111">
        <v>21816</v>
      </c>
      <c r="BD9" s="111">
        <v>4201.2</v>
      </c>
      <c r="BE9" s="111">
        <v>0</v>
      </c>
      <c r="BF9" s="111">
        <v>91320.38</v>
      </c>
      <c r="BG9" s="111">
        <v>32896.400000000001</v>
      </c>
      <c r="BH9" s="111">
        <v>1393754</v>
      </c>
      <c r="BI9" s="111">
        <v>11790193</v>
      </c>
      <c r="BJ9" s="111">
        <v>1867647</v>
      </c>
      <c r="BK9" s="111">
        <v>11790193</v>
      </c>
      <c r="BL9" s="111">
        <v>1867647</v>
      </c>
      <c r="BM9" s="111">
        <v>42012</v>
      </c>
    </row>
    <row r="10" spans="1:65" ht="14.45" customHeight="1">
      <c r="A10" s="225"/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 t="s">
        <v>207</v>
      </c>
      <c r="AC10" s="225"/>
      <c r="AD10" s="225"/>
      <c r="AE10" s="225"/>
      <c r="AF10" s="225" t="s">
        <v>93</v>
      </c>
      <c r="AG10" s="225"/>
      <c r="AH10" s="225"/>
      <c r="AI10" s="225"/>
      <c r="AJ10" s="224">
        <v>32</v>
      </c>
      <c r="AK10" s="224"/>
      <c r="AL10" s="111">
        <v>73</v>
      </c>
      <c r="AM10" s="111">
        <v>1743</v>
      </c>
      <c r="AN10" s="111">
        <v>351.09</v>
      </c>
      <c r="AO10" s="111">
        <v>477566</v>
      </c>
      <c r="AP10" s="111">
        <v>0</v>
      </c>
      <c r="AQ10" s="111">
        <v>26432856.300000001</v>
      </c>
      <c r="AR10" s="224">
        <v>0</v>
      </c>
      <c r="AS10" s="224"/>
      <c r="AT10" s="111">
        <v>935537.57</v>
      </c>
      <c r="AU10" s="111">
        <v>252247.5</v>
      </c>
      <c r="AV10" s="111">
        <v>7570.4</v>
      </c>
      <c r="AW10" s="111">
        <v>7570.4</v>
      </c>
      <c r="AX10" s="111">
        <v>3451166.44</v>
      </c>
      <c r="AY10" s="111">
        <v>1177440.26</v>
      </c>
      <c r="AZ10" s="111">
        <v>30656197.59</v>
      </c>
      <c r="BA10" s="111">
        <v>4223341.29</v>
      </c>
      <c r="BB10" s="111">
        <v>0</v>
      </c>
      <c r="BC10" s="111">
        <v>21816</v>
      </c>
      <c r="BD10" s="111">
        <v>13626.72</v>
      </c>
      <c r="BE10" s="111">
        <v>0</v>
      </c>
      <c r="BF10" s="111">
        <v>107253.33</v>
      </c>
      <c r="BG10" s="111">
        <v>75259.710000000006</v>
      </c>
      <c r="BH10" s="111">
        <v>1503893</v>
      </c>
      <c r="BI10" s="111">
        <v>25457232.800000001</v>
      </c>
      <c r="BJ10" s="111">
        <v>975623.5</v>
      </c>
      <c r="BK10" s="111">
        <v>25457232.800000001</v>
      </c>
      <c r="BL10" s="111">
        <v>975623.5</v>
      </c>
      <c r="BM10" s="111">
        <v>136267.20000000001</v>
      </c>
    </row>
    <row r="11" spans="1:65" ht="14.45" customHeight="1">
      <c r="A11" s="225"/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 t="s">
        <v>208</v>
      </c>
      <c r="AC11" s="225"/>
      <c r="AD11" s="225"/>
      <c r="AE11" s="225"/>
      <c r="AF11" s="225" t="s">
        <v>369</v>
      </c>
      <c r="AG11" s="225"/>
      <c r="AH11" s="225"/>
      <c r="AI11" s="225"/>
      <c r="AJ11" s="224">
        <v>22</v>
      </c>
      <c r="AK11" s="224"/>
      <c r="AL11" s="111">
        <v>50</v>
      </c>
      <c r="AM11" s="111">
        <v>1229</v>
      </c>
      <c r="AN11" s="111">
        <v>185.16</v>
      </c>
      <c r="AO11" s="111">
        <v>314879</v>
      </c>
      <c r="AP11" s="111">
        <v>0</v>
      </c>
      <c r="AQ11" s="111">
        <v>16887696</v>
      </c>
      <c r="AR11" s="224">
        <v>0</v>
      </c>
      <c r="AS11" s="224"/>
      <c r="AT11" s="111">
        <v>647649.13</v>
      </c>
      <c r="AU11" s="111">
        <v>112110</v>
      </c>
      <c r="AV11" s="111">
        <v>3551</v>
      </c>
      <c r="AW11" s="111">
        <v>3551</v>
      </c>
      <c r="AX11" s="111">
        <v>1985335.16</v>
      </c>
      <c r="AY11" s="111">
        <v>1095101.78</v>
      </c>
      <c r="AZ11" s="111">
        <v>20043961.870000001</v>
      </c>
      <c r="BA11" s="111">
        <v>3156265.87</v>
      </c>
      <c r="BB11" s="111">
        <v>0</v>
      </c>
      <c r="BC11" s="111">
        <v>21816</v>
      </c>
      <c r="BD11" s="111">
        <v>6391.8</v>
      </c>
      <c r="BE11" s="111">
        <v>0</v>
      </c>
      <c r="BF11" s="111">
        <v>86588.35</v>
      </c>
      <c r="BG11" s="111">
        <v>53083.81</v>
      </c>
      <c r="BH11" s="111">
        <v>1069607</v>
      </c>
      <c r="BI11" s="111">
        <v>16435766</v>
      </c>
      <c r="BJ11" s="111">
        <v>451930</v>
      </c>
      <c r="BK11" s="111">
        <v>16435766</v>
      </c>
      <c r="BL11" s="111">
        <v>451930</v>
      </c>
      <c r="BM11" s="111">
        <v>63918</v>
      </c>
    </row>
    <row r="12" spans="1:65" ht="14.45" customHeight="1">
      <c r="A12" s="225"/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 t="s">
        <v>209</v>
      </c>
      <c r="AC12" s="225"/>
      <c r="AD12" s="225"/>
      <c r="AE12" s="225"/>
      <c r="AF12" s="225" t="s">
        <v>367</v>
      </c>
      <c r="AG12" s="225"/>
      <c r="AH12" s="225"/>
      <c r="AI12" s="225"/>
      <c r="AJ12" s="224">
        <v>25</v>
      </c>
      <c r="AK12" s="224"/>
      <c r="AL12" s="111">
        <v>57</v>
      </c>
      <c r="AM12" s="111">
        <v>1314</v>
      </c>
      <c r="AN12" s="111">
        <v>183.02</v>
      </c>
      <c r="AO12" s="111">
        <v>663386</v>
      </c>
      <c r="AP12" s="111">
        <v>0</v>
      </c>
      <c r="AQ12" s="111">
        <v>19826012</v>
      </c>
      <c r="AR12" s="224">
        <v>0</v>
      </c>
      <c r="AS12" s="224"/>
      <c r="AT12" s="111">
        <v>850799.57</v>
      </c>
      <c r="AU12" s="111">
        <v>168165</v>
      </c>
      <c r="AV12" s="111">
        <v>7187</v>
      </c>
      <c r="AW12" s="111">
        <v>7187</v>
      </c>
      <c r="AX12" s="111">
        <v>2967592.04</v>
      </c>
      <c r="AY12" s="111">
        <v>1095101.78</v>
      </c>
      <c r="AZ12" s="111">
        <v>24045059.140000001</v>
      </c>
      <c r="BA12" s="111">
        <v>4219047.1399999997</v>
      </c>
      <c r="BB12" s="111">
        <v>0</v>
      </c>
      <c r="BC12" s="111">
        <v>21816</v>
      </c>
      <c r="BD12" s="111">
        <v>12936.6</v>
      </c>
      <c r="BE12" s="111">
        <v>0</v>
      </c>
      <c r="BF12" s="111">
        <v>114593.15</v>
      </c>
      <c r="BG12" s="111">
        <v>56542.04</v>
      </c>
      <c r="BH12" s="111">
        <v>1769727</v>
      </c>
      <c r="BI12" s="111">
        <v>18745284</v>
      </c>
      <c r="BJ12" s="111">
        <v>1080728</v>
      </c>
      <c r="BK12" s="111">
        <v>18745284</v>
      </c>
      <c r="BL12" s="111">
        <v>1080728</v>
      </c>
      <c r="BM12" s="111">
        <v>129366</v>
      </c>
    </row>
    <row r="13" spans="1:65" ht="14.45" customHeight="1">
      <c r="A13" s="225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 t="s">
        <v>212</v>
      </c>
      <c r="AC13" s="225"/>
      <c r="AD13" s="225"/>
      <c r="AE13" s="225"/>
      <c r="AF13" s="225" t="s">
        <v>372</v>
      </c>
      <c r="AG13" s="225"/>
      <c r="AH13" s="225"/>
      <c r="AI13" s="225"/>
      <c r="AJ13" s="224">
        <v>11</v>
      </c>
      <c r="AK13" s="224"/>
      <c r="AL13" s="111">
        <v>23</v>
      </c>
      <c r="AM13" s="111">
        <v>237</v>
      </c>
      <c r="AN13" s="111">
        <v>76.2</v>
      </c>
      <c r="AO13" s="111">
        <v>144346</v>
      </c>
      <c r="AP13" s="111">
        <v>0</v>
      </c>
      <c r="AQ13" s="111">
        <v>5860184</v>
      </c>
      <c r="AR13" s="224">
        <v>0</v>
      </c>
      <c r="AS13" s="224"/>
      <c r="AT13" s="111">
        <v>198188.36</v>
      </c>
      <c r="AU13" s="111">
        <v>28027.5</v>
      </c>
      <c r="AV13" s="111">
        <v>1377</v>
      </c>
      <c r="AW13" s="111">
        <v>1377</v>
      </c>
      <c r="AX13" s="111">
        <v>549606.36</v>
      </c>
      <c r="AY13" s="111">
        <v>518732.42</v>
      </c>
      <c r="AZ13" s="111">
        <v>7396240.6600000001</v>
      </c>
      <c r="BA13" s="111">
        <v>1536056.66</v>
      </c>
      <c r="BB13" s="111">
        <v>0</v>
      </c>
      <c r="BC13" s="111">
        <v>21816</v>
      </c>
      <c r="BD13" s="111">
        <v>2478.6</v>
      </c>
      <c r="BE13" s="111">
        <v>0</v>
      </c>
      <c r="BF13" s="111">
        <v>48490.78</v>
      </c>
      <c r="BG13" s="111">
        <v>0</v>
      </c>
      <c r="BH13" s="111">
        <v>693537</v>
      </c>
      <c r="BI13" s="111">
        <v>4870160</v>
      </c>
      <c r="BJ13" s="111">
        <v>990024</v>
      </c>
      <c r="BK13" s="111">
        <v>4870160</v>
      </c>
      <c r="BL13" s="111">
        <v>990024</v>
      </c>
      <c r="BM13" s="111">
        <v>24786</v>
      </c>
    </row>
    <row r="14" spans="1:65" ht="14.45" customHeight="1">
      <c r="A14" s="225"/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 t="s">
        <v>187</v>
      </c>
      <c r="AC14" s="225"/>
      <c r="AD14" s="225"/>
      <c r="AE14" s="225"/>
      <c r="AF14" s="225" t="s">
        <v>314</v>
      </c>
      <c r="AG14" s="225"/>
      <c r="AH14" s="225"/>
      <c r="AI14" s="225"/>
      <c r="AJ14" s="224">
        <v>35</v>
      </c>
      <c r="AK14" s="224"/>
      <c r="AL14" s="111">
        <v>72</v>
      </c>
      <c r="AM14" s="111">
        <v>1000</v>
      </c>
      <c r="AN14" s="111">
        <v>209.34</v>
      </c>
      <c r="AO14" s="111">
        <v>713734</v>
      </c>
      <c r="AP14" s="111">
        <v>0</v>
      </c>
      <c r="AQ14" s="111">
        <v>23233814</v>
      </c>
      <c r="AR14" s="224">
        <v>0</v>
      </c>
      <c r="AS14" s="224"/>
      <c r="AT14" s="111">
        <v>673374.41</v>
      </c>
      <c r="AU14" s="111">
        <v>56055</v>
      </c>
      <c r="AV14" s="111">
        <v>4975</v>
      </c>
      <c r="AW14" s="111">
        <v>4975</v>
      </c>
      <c r="AX14" s="111">
        <v>2442465.86</v>
      </c>
      <c r="AY14" s="111">
        <v>1869083.48</v>
      </c>
      <c r="AZ14" s="111">
        <v>27372706.030000001</v>
      </c>
      <c r="BA14" s="111">
        <v>4138892.03</v>
      </c>
      <c r="BB14" s="111">
        <v>0</v>
      </c>
      <c r="BC14" s="111">
        <v>35697.599999999999</v>
      </c>
      <c r="BD14" s="111">
        <v>8955</v>
      </c>
      <c r="BE14" s="111">
        <v>0</v>
      </c>
      <c r="BF14" s="111">
        <v>125971.54</v>
      </c>
      <c r="BG14" s="111">
        <v>0</v>
      </c>
      <c r="BH14" s="111">
        <v>1280205</v>
      </c>
      <c r="BI14" s="111">
        <v>22138236</v>
      </c>
      <c r="BJ14" s="111">
        <v>1095578</v>
      </c>
      <c r="BK14" s="111">
        <v>22138236</v>
      </c>
      <c r="BL14" s="111">
        <v>1095578</v>
      </c>
      <c r="BM14" s="111">
        <v>89550</v>
      </c>
    </row>
    <row r="15" spans="1:65" ht="14.45" customHeight="1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 t="s">
        <v>217</v>
      </c>
      <c r="AC15" s="225"/>
      <c r="AD15" s="225"/>
      <c r="AE15" s="225"/>
      <c r="AF15" s="225" t="s">
        <v>322</v>
      </c>
      <c r="AG15" s="225"/>
      <c r="AH15" s="225"/>
      <c r="AI15" s="225"/>
      <c r="AJ15" s="224">
        <v>10</v>
      </c>
      <c r="AK15" s="224"/>
      <c r="AL15" s="111">
        <v>21</v>
      </c>
      <c r="AM15" s="111">
        <v>212</v>
      </c>
      <c r="AN15" s="111">
        <v>95.44</v>
      </c>
      <c r="AO15" s="111">
        <v>209205</v>
      </c>
      <c r="AP15" s="111">
        <v>0</v>
      </c>
      <c r="AQ15" s="111">
        <v>5607240.5</v>
      </c>
      <c r="AR15" s="224">
        <v>0</v>
      </c>
      <c r="AS15" s="224"/>
      <c r="AT15" s="111">
        <v>208093.83</v>
      </c>
      <c r="AU15" s="111">
        <v>0</v>
      </c>
      <c r="AV15" s="111">
        <v>5339</v>
      </c>
      <c r="AW15" s="111">
        <v>5339</v>
      </c>
      <c r="AX15" s="111">
        <v>1328197.25</v>
      </c>
      <c r="AY15" s="111">
        <v>518732.42</v>
      </c>
      <c r="AZ15" s="111">
        <v>7438256.4000000004</v>
      </c>
      <c r="BA15" s="111">
        <v>1831015.9</v>
      </c>
      <c r="BB15" s="111">
        <v>0</v>
      </c>
      <c r="BC15" s="111">
        <v>21816</v>
      </c>
      <c r="BD15" s="111">
        <v>8179.2</v>
      </c>
      <c r="BE15" s="111">
        <v>0</v>
      </c>
      <c r="BF15" s="111">
        <v>58924.94</v>
      </c>
      <c r="BG15" s="111">
        <v>0</v>
      </c>
      <c r="BH15" s="111">
        <v>954391</v>
      </c>
      <c r="BI15" s="111">
        <v>4602310</v>
      </c>
      <c r="BJ15" s="111">
        <v>1004930.5</v>
      </c>
      <c r="BK15" s="111">
        <v>4602310</v>
      </c>
      <c r="BL15" s="111">
        <v>1004930.5</v>
      </c>
      <c r="BM15" s="111">
        <v>81792</v>
      </c>
    </row>
    <row r="16" spans="1:65" ht="14.45" customHeight="1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 t="s">
        <v>196</v>
      </c>
      <c r="AC16" s="225"/>
      <c r="AD16" s="225"/>
      <c r="AE16" s="225"/>
      <c r="AF16" s="225" t="s">
        <v>122</v>
      </c>
      <c r="AG16" s="225"/>
      <c r="AH16" s="225"/>
      <c r="AI16" s="225"/>
      <c r="AJ16" s="224">
        <v>8</v>
      </c>
      <c r="AK16" s="224"/>
      <c r="AL16" s="111">
        <v>8</v>
      </c>
      <c r="AM16" s="111">
        <v>200</v>
      </c>
      <c r="AN16" s="111">
        <v>50</v>
      </c>
      <c r="AO16" s="111">
        <v>58376</v>
      </c>
      <c r="AP16" s="111">
        <v>0</v>
      </c>
      <c r="AQ16" s="111">
        <v>3847894</v>
      </c>
      <c r="AR16" s="224">
        <v>0</v>
      </c>
      <c r="AS16" s="224"/>
      <c r="AT16" s="111">
        <v>0</v>
      </c>
      <c r="AU16" s="111">
        <v>0</v>
      </c>
      <c r="AV16" s="111">
        <v>258.5</v>
      </c>
      <c r="AW16" s="111">
        <v>258.5</v>
      </c>
      <c r="AX16" s="111">
        <v>83007.100000000006</v>
      </c>
      <c r="AY16" s="111">
        <v>436393.94</v>
      </c>
      <c r="AZ16" s="111">
        <v>4375170.17</v>
      </c>
      <c r="BA16" s="111">
        <v>527276.17000000004</v>
      </c>
      <c r="BB16" s="111">
        <v>0</v>
      </c>
      <c r="BC16" s="111">
        <v>3470.4</v>
      </c>
      <c r="BD16" s="111">
        <v>465.3</v>
      </c>
      <c r="BE16" s="111">
        <v>0</v>
      </c>
      <c r="BF16" s="111">
        <v>19758.32</v>
      </c>
      <c r="BG16" s="111">
        <v>4971.21</v>
      </c>
      <c r="BH16" s="111">
        <v>57564</v>
      </c>
      <c r="BI16" s="111">
        <v>3847894</v>
      </c>
      <c r="BJ16" s="111">
        <v>0</v>
      </c>
      <c r="BK16" s="111">
        <v>3847894</v>
      </c>
      <c r="BL16" s="111">
        <v>0</v>
      </c>
      <c r="BM16" s="111">
        <v>4653</v>
      </c>
    </row>
    <row r="17" spans="1:65" ht="14.45" customHeight="1">
      <c r="A17" s="225"/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 t="s">
        <v>228</v>
      </c>
      <c r="AC17" s="225"/>
      <c r="AD17" s="225"/>
      <c r="AE17" s="225"/>
      <c r="AF17" s="225" t="s">
        <v>326</v>
      </c>
      <c r="AG17" s="225"/>
      <c r="AH17" s="225"/>
      <c r="AI17" s="225"/>
      <c r="AJ17" s="224">
        <v>11</v>
      </c>
      <c r="AK17" s="224"/>
      <c r="AL17" s="111">
        <v>25</v>
      </c>
      <c r="AM17" s="111">
        <v>177</v>
      </c>
      <c r="AN17" s="111">
        <v>49.3</v>
      </c>
      <c r="AO17" s="111">
        <v>906172</v>
      </c>
      <c r="AP17" s="111">
        <v>0</v>
      </c>
      <c r="AQ17" s="111">
        <v>6281923</v>
      </c>
      <c r="AR17" s="224">
        <v>0</v>
      </c>
      <c r="AS17" s="224"/>
      <c r="AT17" s="111">
        <v>229523.52</v>
      </c>
      <c r="AU17" s="111">
        <v>0</v>
      </c>
      <c r="AV17" s="111">
        <v>2429</v>
      </c>
      <c r="AW17" s="111">
        <v>2429</v>
      </c>
      <c r="AX17" s="111">
        <v>963979.85</v>
      </c>
      <c r="AY17" s="111">
        <v>765747.86</v>
      </c>
      <c r="AZ17" s="111">
        <v>8067831.54</v>
      </c>
      <c r="BA17" s="111">
        <v>1785908.54</v>
      </c>
      <c r="BB17" s="111">
        <v>0</v>
      </c>
      <c r="BC17" s="111">
        <v>28756.799999999999</v>
      </c>
      <c r="BD17" s="111">
        <v>4372.2</v>
      </c>
      <c r="BE17" s="111">
        <v>0</v>
      </c>
      <c r="BF17" s="111">
        <v>56905.16</v>
      </c>
      <c r="BG17" s="111">
        <v>0</v>
      </c>
      <c r="BH17" s="111">
        <v>656881</v>
      </c>
      <c r="BI17" s="111">
        <v>4830215</v>
      </c>
      <c r="BJ17" s="111">
        <v>1451708</v>
      </c>
      <c r="BK17" s="111">
        <v>4830215</v>
      </c>
      <c r="BL17" s="111">
        <v>1451708</v>
      </c>
      <c r="BM17" s="111">
        <v>43722</v>
      </c>
    </row>
    <row r="18" spans="1:65" ht="14.45" customHeight="1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 t="s">
        <v>235</v>
      </c>
      <c r="AC18" s="225"/>
      <c r="AD18" s="225"/>
      <c r="AE18" s="225"/>
      <c r="AF18" s="225" t="s">
        <v>328</v>
      </c>
      <c r="AG18" s="225"/>
      <c r="AH18" s="225"/>
      <c r="AI18" s="225"/>
      <c r="AJ18" s="224">
        <v>14</v>
      </c>
      <c r="AK18" s="224"/>
      <c r="AL18" s="111">
        <v>33</v>
      </c>
      <c r="AM18" s="111">
        <v>301</v>
      </c>
      <c r="AN18" s="111">
        <v>91.2</v>
      </c>
      <c r="AO18" s="111">
        <v>1285193</v>
      </c>
      <c r="AP18" s="111">
        <v>0</v>
      </c>
      <c r="AQ18" s="111">
        <v>8169559.7999999998</v>
      </c>
      <c r="AR18" s="224">
        <v>0</v>
      </c>
      <c r="AS18" s="224"/>
      <c r="AT18" s="111">
        <v>347319.95</v>
      </c>
      <c r="AU18" s="111">
        <v>28027.5</v>
      </c>
      <c r="AV18" s="111">
        <v>2953</v>
      </c>
      <c r="AW18" s="111">
        <v>2953</v>
      </c>
      <c r="AX18" s="111">
        <v>1211801.42</v>
      </c>
      <c r="AY18" s="111">
        <v>889255.58</v>
      </c>
      <c r="AZ18" s="111">
        <v>10362140.699999999</v>
      </c>
      <c r="BA18" s="111">
        <v>2192580.9</v>
      </c>
      <c r="BB18" s="111">
        <v>0</v>
      </c>
      <c r="BC18" s="111">
        <v>32227.200000000001</v>
      </c>
      <c r="BD18" s="111">
        <v>5315.4</v>
      </c>
      <c r="BE18" s="111">
        <v>0</v>
      </c>
      <c r="BF18" s="111">
        <v>66405.27</v>
      </c>
      <c r="BG18" s="111">
        <v>0</v>
      </c>
      <c r="BH18" s="111">
        <v>770876</v>
      </c>
      <c r="BI18" s="111">
        <v>7513214.7999999998</v>
      </c>
      <c r="BJ18" s="111">
        <v>656345</v>
      </c>
      <c r="BK18" s="111">
        <v>7513214.7999999998</v>
      </c>
      <c r="BL18" s="111">
        <v>656345</v>
      </c>
      <c r="BM18" s="111">
        <v>53154</v>
      </c>
    </row>
    <row r="19" spans="1:65" ht="14.45" customHeight="1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 t="s">
        <v>215</v>
      </c>
      <c r="AC19" s="225"/>
      <c r="AD19" s="225"/>
      <c r="AE19" s="225"/>
      <c r="AF19" s="225" t="s">
        <v>375</v>
      </c>
      <c r="AG19" s="225"/>
      <c r="AH19" s="225"/>
      <c r="AI19" s="225"/>
      <c r="AJ19" s="224">
        <v>10</v>
      </c>
      <c r="AK19" s="224"/>
      <c r="AL19" s="111">
        <v>22</v>
      </c>
      <c r="AM19" s="111">
        <v>184</v>
      </c>
      <c r="AN19" s="111">
        <v>47</v>
      </c>
      <c r="AO19" s="111">
        <v>137007</v>
      </c>
      <c r="AP19" s="111">
        <v>0</v>
      </c>
      <c r="AQ19" s="111">
        <v>5438382</v>
      </c>
      <c r="AR19" s="224">
        <v>0</v>
      </c>
      <c r="AS19" s="224"/>
      <c r="AT19" s="111">
        <v>187180.34</v>
      </c>
      <c r="AU19" s="111">
        <v>0</v>
      </c>
      <c r="AV19" s="111">
        <v>2399</v>
      </c>
      <c r="AW19" s="111">
        <v>2399</v>
      </c>
      <c r="AX19" s="111">
        <v>771440.27</v>
      </c>
      <c r="AY19" s="111">
        <v>518732.42</v>
      </c>
      <c r="AZ19" s="111">
        <v>6901434.9800000004</v>
      </c>
      <c r="BA19" s="111">
        <v>1463052.98</v>
      </c>
      <c r="BB19" s="111">
        <v>0</v>
      </c>
      <c r="BC19" s="111">
        <v>21816</v>
      </c>
      <c r="BD19" s="111">
        <v>4318.2</v>
      </c>
      <c r="BE19" s="111">
        <v>0</v>
      </c>
      <c r="BF19" s="111">
        <v>46406.02</v>
      </c>
      <c r="BG19" s="111">
        <v>0</v>
      </c>
      <c r="BH19" s="111">
        <v>641418</v>
      </c>
      <c r="BI19" s="111">
        <v>4218551</v>
      </c>
      <c r="BJ19" s="111">
        <v>1219831</v>
      </c>
      <c r="BK19" s="111">
        <v>4218551</v>
      </c>
      <c r="BL19" s="111">
        <v>1219831</v>
      </c>
      <c r="BM19" s="111">
        <v>43182</v>
      </c>
    </row>
    <row r="20" spans="1:65" ht="14.45" customHeight="1">
      <c r="A20" s="225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 t="s">
        <v>186</v>
      </c>
      <c r="AC20" s="225"/>
      <c r="AD20" s="225"/>
      <c r="AE20" s="225"/>
      <c r="AF20" s="225" t="s">
        <v>319</v>
      </c>
      <c r="AG20" s="225"/>
      <c r="AH20" s="225"/>
      <c r="AI20" s="225"/>
      <c r="AJ20" s="224">
        <v>17</v>
      </c>
      <c r="AK20" s="224"/>
      <c r="AL20" s="111">
        <v>37</v>
      </c>
      <c r="AM20" s="111">
        <v>533</v>
      </c>
      <c r="AN20" s="111">
        <v>123.69</v>
      </c>
      <c r="AO20" s="111">
        <v>1141714</v>
      </c>
      <c r="AP20" s="111">
        <v>0</v>
      </c>
      <c r="AQ20" s="111">
        <v>10469655.800000001</v>
      </c>
      <c r="AR20" s="224">
        <v>0</v>
      </c>
      <c r="AS20" s="224"/>
      <c r="AT20" s="111">
        <v>512085.89</v>
      </c>
      <c r="AU20" s="111">
        <v>56055</v>
      </c>
      <c r="AV20" s="111">
        <v>4824.3999999999996</v>
      </c>
      <c r="AW20" s="111">
        <v>4824.3999999999996</v>
      </c>
      <c r="AX20" s="111">
        <v>1837953.94</v>
      </c>
      <c r="AY20" s="111">
        <v>765747.86</v>
      </c>
      <c r="AZ20" s="111">
        <v>13383493.07</v>
      </c>
      <c r="BA20" s="111">
        <v>2913837.27</v>
      </c>
      <c r="BB20" s="111">
        <v>0</v>
      </c>
      <c r="BC20" s="111">
        <v>28756.799999999999</v>
      </c>
      <c r="BD20" s="111">
        <v>8683.92</v>
      </c>
      <c r="BE20" s="111">
        <v>0</v>
      </c>
      <c r="BF20" s="111">
        <v>84572.88</v>
      </c>
      <c r="BG20" s="111">
        <v>22521.72</v>
      </c>
      <c r="BH20" s="111">
        <v>1348574</v>
      </c>
      <c r="BI20" s="111">
        <v>10469655.800000001</v>
      </c>
      <c r="BJ20" s="111">
        <v>0</v>
      </c>
      <c r="BK20" s="111">
        <v>10469655.800000001</v>
      </c>
      <c r="BL20" s="111">
        <v>0</v>
      </c>
      <c r="BM20" s="111">
        <v>86839.2</v>
      </c>
    </row>
    <row r="21" spans="1:65" ht="14.45" customHeight="1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 t="s">
        <v>211</v>
      </c>
      <c r="AC21" s="225"/>
      <c r="AD21" s="225"/>
      <c r="AE21" s="225"/>
      <c r="AF21" s="225" t="s">
        <v>371</v>
      </c>
      <c r="AG21" s="225"/>
      <c r="AH21" s="225"/>
      <c r="AI21" s="225"/>
      <c r="AJ21" s="224">
        <v>10</v>
      </c>
      <c r="AK21" s="224"/>
      <c r="AL21" s="111">
        <v>23</v>
      </c>
      <c r="AM21" s="111">
        <v>173</v>
      </c>
      <c r="AN21" s="111">
        <v>61.5</v>
      </c>
      <c r="AO21" s="111">
        <v>213868</v>
      </c>
      <c r="AP21" s="111">
        <v>0</v>
      </c>
      <c r="AQ21" s="111">
        <v>5279559</v>
      </c>
      <c r="AR21" s="224">
        <v>0</v>
      </c>
      <c r="AS21" s="224"/>
      <c r="AT21" s="111">
        <v>220372.82</v>
      </c>
      <c r="AU21" s="111">
        <v>31390.799999999999</v>
      </c>
      <c r="AV21" s="111">
        <v>1769</v>
      </c>
      <c r="AW21" s="111">
        <v>1769</v>
      </c>
      <c r="AX21" s="111">
        <v>591607.1</v>
      </c>
      <c r="AY21" s="111">
        <v>518732.42</v>
      </c>
      <c r="AZ21" s="111">
        <v>6544369.3399999999</v>
      </c>
      <c r="BA21" s="111">
        <v>1264810.3400000001</v>
      </c>
      <c r="BB21" s="111">
        <v>0</v>
      </c>
      <c r="BC21" s="111">
        <v>21816</v>
      </c>
      <c r="BD21" s="111">
        <v>3184.2</v>
      </c>
      <c r="BE21" s="111">
        <v>0</v>
      </c>
      <c r="BF21" s="111">
        <v>36777.1</v>
      </c>
      <c r="BG21" s="111">
        <v>0</v>
      </c>
      <c r="BH21" s="111">
        <v>400695</v>
      </c>
      <c r="BI21" s="111">
        <v>3597281</v>
      </c>
      <c r="BJ21" s="111">
        <v>1682278</v>
      </c>
      <c r="BK21" s="111">
        <v>3597281</v>
      </c>
      <c r="BL21" s="111">
        <v>1682278</v>
      </c>
      <c r="BM21" s="111">
        <v>31842</v>
      </c>
    </row>
    <row r="22" spans="1:65" ht="14.45" customHeight="1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  <c r="AA22" s="225"/>
      <c r="AB22" s="225" t="s">
        <v>252</v>
      </c>
      <c r="AC22" s="225"/>
      <c r="AD22" s="225"/>
      <c r="AE22" s="225"/>
      <c r="AF22" s="225" t="s">
        <v>332</v>
      </c>
      <c r="AG22" s="225"/>
      <c r="AH22" s="225"/>
      <c r="AI22" s="225"/>
      <c r="AJ22" s="224">
        <v>14</v>
      </c>
      <c r="AK22" s="224"/>
      <c r="AL22" s="111">
        <v>30</v>
      </c>
      <c r="AM22" s="111">
        <v>402</v>
      </c>
      <c r="AN22" s="111">
        <v>172.16</v>
      </c>
      <c r="AO22" s="111">
        <v>244035</v>
      </c>
      <c r="AP22" s="111">
        <v>0</v>
      </c>
      <c r="AQ22" s="111">
        <v>7713881</v>
      </c>
      <c r="AR22" s="224">
        <v>0</v>
      </c>
      <c r="AS22" s="224"/>
      <c r="AT22" s="111">
        <v>314961.37</v>
      </c>
      <c r="AU22" s="111">
        <v>28027.5</v>
      </c>
      <c r="AV22" s="111">
        <v>4987</v>
      </c>
      <c r="AW22" s="111">
        <v>4987</v>
      </c>
      <c r="AX22" s="111">
        <v>2014995.6</v>
      </c>
      <c r="AY22" s="111">
        <v>790449.4</v>
      </c>
      <c r="AZ22" s="111">
        <v>9886810.25</v>
      </c>
      <c r="BA22" s="111">
        <v>2172929.25</v>
      </c>
      <c r="BB22" s="111">
        <v>0</v>
      </c>
      <c r="BC22" s="111">
        <v>25286.400000000001</v>
      </c>
      <c r="BD22" s="111">
        <v>8976.6</v>
      </c>
      <c r="BE22" s="111">
        <v>0</v>
      </c>
      <c r="BF22" s="111">
        <v>65611.98</v>
      </c>
      <c r="BG22" s="111">
        <v>0</v>
      </c>
      <c r="BH22" s="111">
        <v>849850</v>
      </c>
      <c r="BI22" s="111">
        <v>7425571</v>
      </c>
      <c r="BJ22" s="111">
        <v>288310</v>
      </c>
      <c r="BK22" s="111">
        <v>7425571</v>
      </c>
      <c r="BL22" s="111">
        <v>288310</v>
      </c>
      <c r="BM22" s="111">
        <v>89766</v>
      </c>
    </row>
    <row r="23" spans="1:65" ht="14.45" customHeight="1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 t="s">
        <v>250</v>
      </c>
      <c r="AC23" s="225"/>
      <c r="AD23" s="225"/>
      <c r="AE23" s="225"/>
      <c r="AF23" s="225" t="s">
        <v>331</v>
      </c>
      <c r="AG23" s="225"/>
      <c r="AH23" s="225"/>
      <c r="AI23" s="225"/>
      <c r="AJ23" s="224">
        <v>13</v>
      </c>
      <c r="AK23" s="224"/>
      <c r="AL23" s="111">
        <v>30</v>
      </c>
      <c r="AM23" s="111">
        <v>246</v>
      </c>
      <c r="AN23" s="111">
        <v>97.13</v>
      </c>
      <c r="AO23" s="111">
        <v>970682</v>
      </c>
      <c r="AP23" s="111">
        <v>0</v>
      </c>
      <c r="AQ23" s="111">
        <v>7612445</v>
      </c>
      <c r="AR23" s="224">
        <v>0</v>
      </c>
      <c r="AS23" s="224"/>
      <c r="AT23" s="111">
        <v>297379.01</v>
      </c>
      <c r="AU23" s="111">
        <v>22422</v>
      </c>
      <c r="AV23" s="111">
        <v>2337.6999999999998</v>
      </c>
      <c r="AW23" s="111">
        <v>2337.6999999999998</v>
      </c>
      <c r="AX23" s="111">
        <v>854790.52</v>
      </c>
      <c r="AY23" s="111">
        <v>765747.86</v>
      </c>
      <c r="AZ23" s="111">
        <v>9580466.9700000007</v>
      </c>
      <c r="BA23" s="111">
        <v>1968021.97</v>
      </c>
      <c r="BB23" s="111">
        <v>0</v>
      </c>
      <c r="BC23" s="111">
        <v>28756.799999999999</v>
      </c>
      <c r="BD23" s="111">
        <v>4207.8599999999997</v>
      </c>
      <c r="BE23" s="111">
        <v>0</v>
      </c>
      <c r="BF23" s="111">
        <v>60506.84</v>
      </c>
      <c r="BG23" s="111">
        <v>0</v>
      </c>
      <c r="BH23" s="111">
        <v>746923</v>
      </c>
      <c r="BI23" s="111">
        <v>6699655</v>
      </c>
      <c r="BJ23" s="111">
        <v>912790</v>
      </c>
      <c r="BK23" s="111">
        <v>6699655</v>
      </c>
      <c r="BL23" s="111">
        <v>912790</v>
      </c>
      <c r="BM23" s="111">
        <v>42078.6</v>
      </c>
    </row>
    <row r="24" spans="1:65" ht="14.45" customHeight="1">
      <c r="A24" s="225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225" t="s">
        <v>181</v>
      </c>
      <c r="AC24" s="225"/>
      <c r="AD24" s="225"/>
      <c r="AE24" s="225"/>
      <c r="AF24" s="225" t="s">
        <v>317</v>
      </c>
      <c r="AG24" s="225"/>
      <c r="AH24" s="225"/>
      <c r="AI24" s="225"/>
      <c r="AJ24" s="224">
        <v>10</v>
      </c>
      <c r="AK24" s="224"/>
      <c r="AL24" s="111">
        <v>25</v>
      </c>
      <c r="AM24" s="111">
        <v>199</v>
      </c>
      <c r="AN24" s="111">
        <v>66.3</v>
      </c>
      <c r="AO24" s="111">
        <v>527737</v>
      </c>
      <c r="AP24" s="111">
        <v>0</v>
      </c>
      <c r="AQ24" s="111">
        <v>5839328.5</v>
      </c>
      <c r="AR24" s="224">
        <v>0</v>
      </c>
      <c r="AS24" s="224"/>
      <c r="AT24" s="111">
        <v>228277.09</v>
      </c>
      <c r="AU24" s="111">
        <v>28027.5</v>
      </c>
      <c r="AV24" s="111">
        <v>1971</v>
      </c>
      <c r="AW24" s="111">
        <v>1971</v>
      </c>
      <c r="AX24" s="111">
        <v>791485.27</v>
      </c>
      <c r="AY24" s="111">
        <v>642240.14</v>
      </c>
      <c r="AZ24" s="111">
        <v>7294330.6399999997</v>
      </c>
      <c r="BA24" s="111">
        <v>1455002.14</v>
      </c>
      <c r="BB24" s="111">
        <v>0</v>
      </c>
      <c r="BC24" s="111">
        <v>25286.400000000001</v>
      </c>
      <c r="BD24" s="111">
        <v>3547.8</v>
      </c>
      <c r="BE24" s="111">
        <v>0</v>
      </c>
      <c r="BF24" s="111">
        <v>43630.21</v>
      </c>
      <c r="BG24" s="111">
        <v>0</v>
      </c>
      <c r="BH24" s="111">
        <v>448515</v>
      </c>
      <c r="BI24" s="111">
        <v>4477694</v>
      </c>
      <c r="BJ24" s="111">
        <v>1361634.5</v>
      </c>
      <c r="BK24" s="111">
        <v>4477694</v>
      </c>
      <c r="BL24" s="111">
        <v>1361634.5</v>
      </c>
      <c r="BM24" s="111">
        <v>35478</v>
      </c>
    </row>
    <row r="25" spans="1:65" ht="14.45" customHeight="1">
      <c r="A25" s="225"/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25"/>
      <c r="AB25" s="225" t="s">
        <v>224</v>
      </c>
      <c r="AC25" s="225"/>
      <c r="AD25" s="225"/>
      <c r="AE25" s="225"/>
      <c r="AF25" s="225" t="s">
        <v>324</v>
      </c>
      <c r="AG25" s="225"/>
      <c r="AH25" s="225"/>
      <c r="AI25" s="225"/>
      <c r="AJ25" s="224">
        <v>16</v>
      </c>
      <c r="AK25" s="224"/>
      <c r="AL25" s="111">
        <v>30</v>
      </c>
      <c r="AM25" s="111">
        <v>381</v>
      </c>
      <c r="AN25" s="111">
        <v>125.85</v>
      </c>
      <c r="AO25" s="111">
        <v>912869</v>
      </c>
      <c r="AP25" s="111">
        <v>0</v>
      </c>
      <c r="AQ25" s="111">
        <v>8700527.4000000004</v>
      </c>
      <c r="AR25" s="224">
        <v>0</v>
      </c>
      <c r="AS25" s="224"/>
      <c r="AT25" s="111">
        <v>305994.65999999997</v>
      </c>
      <c r="AU25" s="111">
        <v>32511.9</v>
      </c>
      <c r="AV25" s="111">
        <v>2540</v>
      </c>
      <c r="AW25" s="111">
        <v>2540</v>
      </c>
      <c r="AX25" s="111">
        <v>1113212.8500000001</v>
      </c>
      <c r="AY25" s="111">
        <v>913957.12</v>
      </c>
      <c r="AZ25" s="111">
        <v>10679470.25</v>
      </c>
      <c r="BA25" s="111">
        <v>1978942.85</v>
      </c>
      <c r="BB25" s="111">
        <v>0</v>
      </c>
      <c r="BC25" s="111">
        <v>28756.799999999999</v>
      </c>
      <c r="BD25" s="111">
        <v>4572</v>
      </c>
      <c r="BE25" s="111">
        <v>0</v>
      </c>
      <c r="BF25" s="111">
        <v>60053.37</v>
      </c>
      <c r="BG25" s="111">
        <v>0</v>
      </c>
      <c r="BH25" s="111">
        <v>587377</v>
      </c>
      <c r="BI25" s="111">
        <v>8700527.4000000004</v>
      </c>
      <c r="BJ25" s="111">
        <v>0</v>
      </c>
      <c r="BK25" s="111">
        <v>8700527.4000000004</v>
      </c>
      <c r="BL25" s="111">
        <v>0</v>
      </c>
      <c r="BM25" s="111">
        <v>45720</v>
      </c>
    </row>
    <row r="26" spans="1:65" ht="14.45" customHeight="1">
      <c r="A26" s="225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25"/>
      <c r="AB26" s="225" t="s">
        <v>236</v>
      </c>
      <c r="AC26" s="225"/>
      <c r="AD26" s="225"/>
      <c r="AE26" s="225"/>
      <c r="AF26" s="225" t="s">
        <v>329</v>
      </c>
      <c r="AG26" s="225"/>
      <c r="AH26" s="225"/>
      <c r="AI26" s="225"/>
      <c r="AJ26" s="224">
        <v>17</v>
      </c>
      <c r="AK26" s="224"/>
      <c r="AL26" s="111">
        <v>32</v>
      </c>
      <c r="AM26" s="111">
        <v>288</v>
      </c>
      <c r="AN26" s="111">
        <v>99.45</v>
      </c>
      <c r="AO26" s="111">
        <v>1280530</v>
      </c>
      <c r="AP26" s="111">
        <v>0</v>
      </c>
      <c r="AQ26" s="111">
        <v>8593932.5</v>
      </c>
      <c r="AR26" s="224">
        <v>0</v>
      </c>
      <c r="AS26" s="224"/>
      <c r="AT26" s="111">
        <v>359202.01</v>
      </c>
      <c r="AU26" s="111">
        <v>30269.7</v>
      </c>
      <c r="AV26" s="111">
        <v>1887.5</v>
      </c>
      <c r="AW26" s="111">
        <v>1887.5</v>
      </c>
      <c r="AX26" s="111">
        <v>942842.46</v>
      </c>
      <c r="AY26" s="111">
        <v>889255.58</v>
      </c>
      <c r="AZ26" s="111">
        <v>10446800.039999999</v>
      </c>
      <c r="BA26" s="111">
        <v>1852867.54</v>
      </c>
      <c r="BB26" s="111">
        <v>0</v>
      </c>
      <c r="BC26" s="111">
        <v>32227.200000000001</v>
      </c>
      <c r="BD26" s="111">
        <v>3397.5</v>
      </c>
      <c r="BE26" s="111">
        <v>0</v>
      </c>
      <c r="BF26" s="111">
        <v>53607.55</v>
      </c>
      <c r="BG26" s="111">
        <v>0</v>
      </c>
      <c r="BH26" s="111">
        <v>450933</v>
      </c>
      <c r="BI26" s="111">
        <v>8048170</v>
      </c>
      <c r="BJ26" s="111">
        <v>545762.5</v>
      </c>
      <c r="BK26" s="111">
        <v>8048170</v>
      </c>
      <c r="BL26" s="111">
        <v>545762.5</v>
      </c>
      <c r="BM26" s="111">
        <v>33975</v>
      </c>
    </row>
    <row r="27" spans="1:65" ht="14.45" customHeight="1">
      <c r="A27" s="225"/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25"/>
      <c r="AB27" s="225" t="s">
        <v>201</v>
      </c>
      <c r="AC27" s="225"/>
      <c r="AD27" s="225"/>
      <c r="AE27" s="225"/>
      <c r="AF27" s="225" t="s">
        <v>320</v>
      </c>
      <c r="AG27" s="225"/>
      <c r="AH27" s="225"/>
      <c r="AI27" s="225"/>
      <c r="AJ27" s="224">
        <v>12</v>
      </c>
      <c r="AK27" s="224"/>
      <c r="AL27" s="111">
        <v>28</v>
      </c>
      <c r="AM27" s="111">
        <v>148</v>
      </c>
      <c r="AN27" s="111">
        <v>50.05</v>
      </c>
      <c r="AO27" s="111">
        <v>608783</v>
      </c>
      <c r="AP27" s="111">
        <v>0</v>
      </c>
      <c r="AQ27" s="111">
        <v>6427290</v>
      </c>
      <c r="AR27" s="224">
        <v>0</v>
      </c>
      <c r="AS27" s="224"/>
      <c r="AT27" s="111">
        <v>232709.3</v>
      </c>
      <c r="AU27" s="111">
        <v>0</v>
      </c>
      <c r="AV27" s="111">
        <v>2239</v>
      </c>
      <c r="AW27" s="111">
        <v>2239</v>
      </c>
      <c r="AX27" s="111">
        <v>758262.22</v>
      </c>
      <c r="AY27" s="111">
        <v>913957.12</v>
      </c>
      <c r="AZ27" s="111">
        <v>8412132.0299999993</v>
      </c>
      <c r="BA27" s="111">
        <v>1984842.03</v>
      </c>
      <c r="BB27" s="111">
        <v>0</v>
      </c>
      <c r="BC27" s="111">
        <v>28756.799999999999</v>
      </c>
      <c r="BD27" s="111">
        <v>4030.2</v>
      </c>
      <c r="BE27" s="111">
        <v>0</v>
      </c>
      <c r="BF27" s="111">
        <v>64578.61</v>
      </c>
      <c r="BG27" s="111">
        <v>0</v>
      </c>
      <c r="BH27" s="111">
        <v>700508</v>
      </c>
      <c r="BI27" s="111">
        <v>4094619</v>
      </c>
      <c r="BJ27" s="111">
        <v>2332671</v>
      </c>
      <c r="BK27" s="111">
        <v>4094619</v>
      </c>
      <c r="BL27" s="111">
        <v>2332671</v>
      </c>
      <c r="BM27" s="111">
        <v>40302</v>
      </c>
    </row>
    <row r="28" spans="1:65" ht="14.45" customHeight="1">
      <c r="A28" s="225"/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225"/>
      <c r="AB28" s="225" t="s">
        <v>242</v>
      </c>
      <c r="AC28" s="225"/>
      <c r="AD28" s="225"/>
      <c r="AE28" s="225"/>
      <c r="AF28" s="225" t="s">
        <v>333</v>
      </c>
      <c r="AG28" s="225"/>
      <c r="AH28" s="225"/>
      <c r="AI28" s="225"/>
      <c r="AJ28" s="224">
        <v>9</v>
      </c>
      <c r="AK28" s="224"/>
      <c r="AL28" s="111">
        <v>20</v>
      </c>
      <c r="AM28" s="111">
        <v>120</v>
      </c>
      <c r="AN28" s="111">
        <v>27.2</v>
      </c>
      <c r="AO28" s="111">
        <v>648867</v>
      </c>
      <c r="AP28" s="111">
        <v>0</v>
      </c>
      <c r="AQ28" s="111">
        <v>4745680</v>
      </c>
      <c r="AR28" s="224">
        <v>0</v>
      </c>
      <c r="AS28" s="224"/>
      <c r="AT28" s="111">
        <v>157090.13</v>
      </c>
      <c r="AU28" s="111">
        <v>0</v>
      </c>
      <c r="AV28" s="111">
        <v>931</v>
      </c>
      <c r="AW28" s="111">
        <v>931</v>
      </c>
      <c r="AX28" s="111">
        <v>760473.2</v>
      </c>
      <c r="AY28" s="111">
        <v>477563.18</v>
      </c>
      <c r="AZ28" s="111">
        <v>5693299.8799999999</v>
      </c>
      <c r="BA28" s="111">
        <v>947619.88</v>
      </c>
      <c r="BB28" s="111">
        <v>0</v>
      </c>
      <c r="BC28" s="111">
        <v>10411.200000000001</v>
      </c>
      <c r="BD28" s="111">
        <v>1675.8</v>
      </c>
      <c r="BE28" s="111">
        <v>0</v>
      </c>
      <c r="BF28" s="111">
        <v>29295.57</v>
      </c>
      <c r="BG28" s="111">
        <v>0</v>
      </c>
      <c r="BH28" s="111">
        <v>254826</v>
      </c>
      <c r="BI28" s="111">
        <v>3665377</v>
      </c>
      <c r="BJ28" s="111">
        <v>1080303</v>
      </c>
      <c r="BK28" s="111">
        <v>3665377</v>
      </c>
      <c r="BL28" s="111">
        <v>1080303</v>
      </c>
      <c r="BM28" s="111">
        <v>16758</v>
      </c>
    </row>
    <row r="29" spans="1:65" ht="14.45" customHeight="1">
      <c r="A29" s="225"/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  <c r="Z29" s="225"/>
      <c r="AA29" s="225"/>
      <c r="AB29" s="225" t="s">
        <v>225</v>
      </c>
      <c r="AC29" s="225"/>
      <c r="AD29" s="225"/>
      <c r="AE29" s="225"/>
      <c r="AF29" s="225" t="s">
        <v>334</v>
      </c>
      <c r="AG29" s="225"/>
      <c r="AH29" s="225"/>
      <c r="AI29" s="225"/>
      <c r="AJ29" s="224">
        <v>13</v>
      </c>
      <c r="AK29" s="224"/>
      <c r="AL29" s="111">
        <v>33</v>
      </c>
      <c r="AM29" s="111">
        <v>319</v>
      </c>
      <c r="AN29" s="111">
        <v>148.30000000000001</v>
      </c>
      <c r="AO29" s="111">
        <v>1349410</v>
      </c>
      <c r="AP29" s="111">
        <v>0</v>
      </c>
      <c r="AQ29" s="111">
        <v>7959977.7000000002</v>
      </c>
      <c r="AR29" s="224">
        <v>0</v>
      </c>
      <c r="AS29" s="224"/>
      <c r="AT29" s="111">
        <v>409398.15</v>
      </c>
      <c r="AU29" s="111">
        <v>28027.5</v>
      </c>
      <c r="AV29" s="111">
        <v>3268.3</v>
      </c>
      <c r="AW29" s="111">
        <v>3268.3</v>
      </c>
      <c r="AX29" s="111">
        <v>1232875.72</v>
      </c>
      <c r="AY29" s="111">
        <v>889255.58</v>
      </c>
      <c r="AZ29" s="111">
        <v>11061196.619999999</v>
      </c>
      <c r="BA29" s="111">
        <v>3101218.92</v>
      </c>
      <c r="BB29" s="111">
        <v>0</v>
      </c>
      <c r="BC29" s="111">
        <v>32227.200000000001</v>
      </c>
      <c r="BD29" s="111">
        <v>5882.94</v>
      </c>
      <c r="BE29" s="111">
        <v>0</v>
      </c>
      <c r="BF29" s="111">
        <v>98725.15</v>
      </c>
      <c r="BG29" s="111">
        <v>0</v>
      </c>
      <c r="BH29" s="111">
        <v>1578873</v>
      </c>
      <c r="BI29" s="111">
        <v>7204980.2000000002</v>
      </c>
      <c r="BJ29" s="111">
        <v>754997.5</v>
      </c>
      <c r="BK29" s="111">
        <v>7204980.2000000002</v>
      </c>
      <c r="BL29" s="111">
        <v>754997.5</v>
      </c>
      <c r="BM29" s="111">
        <v>58829.4</v>
      </c>
    </row>
    <row r="30" spans="1:65" ht="14.45" customHeight="1">
      <c r="A30" s="225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 t="s">
        <v>246</v>
      </c>
      <c r="AC30" s="225"/>
      <c r="AD30" s="225"/>
      <c r="AE30" s="225"/>
      <c r="AF30" s="225" t="s">
        <v>316</v>
      </c>
      <c r="AG30" s="225"/>
      <c r="AH30" s="225"/>
      <c r="AI30" s="225"/>
      <c r="AJ30" s="224">
        <v>12</v>
      </c>
      <c r="AK30" s="224"/>
      <c r="AL30" s="111">
        <v>25</v>
      </c>
      <c r="AM30" s="111">
        <v>128</v>
      </c>
      <c r="AN30" s="111">
        <v>37.97</v>
      </c>
      <c r="AO30" s="111">
        <v>526802</v>
      </c>
      <c r="AP30" s="111">
        <v>0</v>
      </c>
      <c r="AQ30" s="111">
        <v>6068035.5</v>
      </c>
      <c r="AR30" s="224">
        <v>0</v>
      </c>
      <c r="AS30" s="224"/>
      <c r="AT30" s="111">
        <v>253529.41</v>
      </c>
      <c r="AU30" s="111">
        <v>0</v>
      </c>
      <c r="AV30" s="111">
        <v>2217</v>
      </c>
      <c r="AW30" s="111">
        <v>2217</v>
      </c>
      <c r="AX30" s="111">
        <v>847526.21</v>
      </c>
      <c r="AY30" s="111">
        <v>790449.4</v>
      </c>
      <c r="AZ30" s="111">
        <v>7798789.7699999996</v>
      </c>
      <c r="BA30" s="111">
        <v>1730754.27</v>
      </c>
      <c r="BB30" s="111">
        <v>0</v>
      </c>
      <c r="BC30" s="111">
        <v>25286.400000000001</v>
      </c>
      <c r="BD30" s="111">
        <v>3990.6</v>
      </c>
      <c r="BE30" s="111">
        <v>0</v>
      </c>
      <c r="BF30" s="111">
        <v>54155.46</v>
      </c>
      <c r="BG30" s="111">
        <v>0</v>
      </c>
      <c r="BH30" s="111">
        <v>563437</v>
      </c>
      <c r="BI30" s="111">
        <v>4093433</v>
      </c>
      <c r="BJ30" s="111">
        <v>1974602.5</v>
      </c>
      <c r="BK30" s="111">
        <v>4093433</v>
      </c>
      <c r="BL30" s="111">
        <v>1974602.5</v>
      </c>
      <c r="BM30" s="111">
        <v>39906</v>
      </c>
    </row>
    <row r="31" spans="1:65" ht="14.45" customHeight="1">
      <c r="A31" s="225"/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 t="s">
        <v>214</v>
      </c>
      <c r="AC31" s="225"/>
      <c r="AD31" s="225"/>
      <c r="AE31" s="225"/>
      <c r="AF31" s="225" t="s">
        <v>373</v>
      </c>
      <c r="AG31" s="225"/>
      <c r="AH31" s="225"/>
      <c r="AI31" s="225"/>
      <c r="AJ31" s="224">
        <v>9</v>
      </c>
      <c r="AK31" s="224"/>
      <c r="AL31" s="111">
        <v>23</v>
      </c>
      <c r="AM31" s="111">
        <v>203</v>
      </c>
      <c r="AN31" s="111">
        <v>75.900000000000006</v>
      </c>
      <c r="AO31" s="111">
        <v>144346</v>
      </c>
      <c r="AP31" s="111">
        <v>0</v>
      </c>
      <c r="AQ31" s="111">
        <v>5547221.5</v>
      </c>
      <c r="AR31" s="224">
        <v>0</v>
      </c>
      <c r="AS31" s="224"/>
      <c r="AT31" s="111">
        <v>215545.06</v>
      </c>
      <c r="AU31" s="111">
        <v>26906.400000000001</v>
      </c>
      <c r="AV31" s="111">
        <v>2969</v>
      </c>
      <c r="AW31" s="111">
        <v>2969</v>
      </c>
      <c r="AX31" s="111">
        <v>922052.87</v>
      </c>
      <c r="AY31" s="111">
        <v>518732.42</v>
      </c>
      <c r="AZ31" s="111">
        <v>6814349.1200000001</v>
      </c>
      <c r="BA31" s="111">
        <v>1267127.6200000001</v>
      </c>
      <c r="BB31" s="111">
        <v>0</v>
      </c>
      <c r="BC31" s="111">
        <v>21816</v>
      </c>
      <c r="BD31" s="111">
        <v>5344.2</v>
      </c>
      <c r="BE31" s="111">
        <v>0</v>
      </c>
      <c r="BF31" s="111">
        <v>36310.54</v>
      </c>
      <c r="BG31" s="111">
        <v>0</v>
      </c>
      <c r="BH31" s="111">
        <v>389031</v>
      </c>
      <c r="BI31" s="111">
        <v>4247321</v>
      </c>
      <c r="BJ31" s="111">
        <v>1299900.5</v>
      </c>
      <c r="BK31" s="111">
        <v>4247321</v>
      </c>
      <c r="BL31" s="111">
        <v>1299900.5</v>
      </c>
      <c r="BM31" s="111">
        <v>53442</v>
      </c>
    </row>
    <row r="32" spans="1:65" ht="14.45" customHeight="1">
      <c r="A32" s="225"/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 t="s">
        <v>184</v>
      </c>
      <c r="AC32" s="225"/>
      <c r="AD32" s="225"/>
      <c r="AE32" s="225"/>
      <c r="AF32" s="225" t="s">
        <v>318</v>
      </c>
      <c r="AG32" s="225"/>
      <c r="AH32" s="225"/>
      <c r="AI32" s="225"/>
      <c r="AJ32" s="224">
        <v>11</v>
      </c>
      <c r="AK32" s="224"/>
      <c r="AL32" s="111">
        <v>25</v>
      </c>
      <c r="AM32" s="111">
        <v>127</v>
      </c>
      <c r="AN32" s="111">
        <v>43.53</v>
      </c>
      <c r="AO32" s="111">
        <v>1731054</v>
      </c>
      <c r="AP32" s="111">
        <v>0</v>
      </c>
      <c r="AQ32" s="111">
        <v>4867990</v>
      </c>
      <c r="AR32" s="224">
        <v>0</v>
      </c>
      <c r="AS32" s="224"/>
      <c r="AT32" s="111">
        <v>277770.90999999997</v>
      </c>
      <c r="AU32" s="111">
        <v>25785.3</v>
      </c>
      <c r="AV32" s="111">
        <v>1883</v>
      </c>
      <c r="AW32" s="111">
        <v>1883</v>
      </c>
      <c r="AX32" s="111">
        <v>794593.9</v>
      </c>
      <c r="AY32" s="111">
        <v>601070.9</v>
      </c>
      <c r="AZ32" s="111">
        <v>6302493.2699999996</v>
      </c>
      <c r="BA32" s="111">
        <v>1434503.27</v>
      </c>
      <c r="BB32" s="111">
        <v>0</v>
      </c>
      <c r="BC32" s="111">
        <v>10411.200000000001</v>
      </c>
      <c r="BD32" s="111">
        <v>3389.4</v>
      </c>
      <c r="BE32" s="111">
        <v>0</v>
      </c>
      <c r="BF32" s="111">
        <v>41663.56</v>
      </c>
      <c r="BG32" s="111">
        <v>0</v>
      </c>
      <c r="BH32" s="111">
        <v>440518</v>
      </c>
      <c r="BI32" s="111">
        <v>4867990</v>
      </c>
      <c r="BJ32" s="111">
        <v>0</v>
      </c>
      <c r="BK32" s="111">
        <v>4867990</v>
      </c>
      <c r="BL32" s="111">
        <v>0</v>
      </c>
      <c r="BM32" s="111">
        <v>33894</v>
      </c>
    </row>
    <row r="33" spans="1:65" ht="14.45" customHeight="1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225" t="s">
        <v>227</v>
      </c>
      <c r="AC33" s="225"/>
      <c r="AD33" s="225"/>
      <c r="AE33" s="225"/>
      <c r="AF33" s="225" t="s">
        <v>325</v>
      </c>
      <c r="AG33" s="225"/>
      <c r="AH33" s="225"/>
      <c r="AI33" s="225"/>
      <c r="AJ33" s="224">
        <v>11</v>
      </c>
      <c r="AK33" s="224"/>
      <c r="AL33" s="111">
        <v>27</v>
      </c>
      <c r="AM33" s="111">
        <v>193</v>
      </c>
      <c r="AN33" s="111">
        <v>53.7</v>
      </c>
      <c r="AO33" s="111">
        <v>894463</v>
      </c>
      <c r="AP33" s="111">
        <v>0</v>
      </c>
      <c r="AQ33" s="111">
        <v>6296618.5</v>
      </c>
      <c r="AR33" s="224">
        <v>0</v>
      </c>
      <c r="AS33" s="224"/>
      <c r="AT33" s="111">
        <v>271952.37</v>
      </c>
      <c r="AU33" s="111">
        <v>0</v>
      </c>
      <c r="AV33" s="111">
        <v>5559</v>
      </c>
      <c r="AW33" s="111">
        <v>5559</v>
      </c>
      <c r="AX33" s="111">
        <v>1657079.87</v>
      </c>
      <c r="AY33" s="111">
        <v>765747.86</v>
      </c>
      <c r="AZ33" s="111">
        <v>8285408.5300000003</v>
      </c>
      <c r="BA33" s="111">
        <v>1988790.03</v>
      </c>
      <c r="BB33" s="111">
        <v>0</v>
      </c>
      <c r="BC33" s="111">
        <v>28756.799999999999</v>
      </c>
      <c r="BD33" s="111">
        <v>10006.200000000001</v>
      </c>
      <c r="BE33" s="111">
        <v>0</v>
      </c>
      <c r="BF33" s="111">
        <v>60692.800000000003</v>
      </c>
      <c r="BG33" s="111">
        <v>0</v>
      </c>
      <c r="BH33" s="111">
        <v>751572</v>
      </c>
      <c r="BI33" s="111">
        <v>5178480</v>
      </c>
      <c r="BJ33" s="111">
        <v>1118138.5</v>
      </c>
      <c r="BK33" s="111">
        <v>5178480</v>
      </c>
      <c r="BL33" s="111">
        <v>1118138.5</v>
      </c>
      <c r="BM33" s="111">
        <v>100062</v>
      </c>
    </row>
    <row r="34" spans="1:65" ht="14.45" customHeight="1">
      <c r="A34" s="225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 t="s">
        <v>222</v>
      </c>
      <c r="AC34" s="225"/>
      <c r="AD34" s="225"/>
      <c r="AE34" s="225"/>
      <c r="AF34" s="225" t="s">
        <v>315</v>
      </c>
      <c r="AG34" s="225"/>
      <c r="AH34" s="225"/>
      <c r="AI34" s="225"/>
      <c r="AJ34" s="224">
        <v>14</v>
      </c>
      <c r="AK34" s="224"/>
      <c r="AL34" s="111">
        <v>31</v>
      </c>
      <c r="AM34" s="111">
        <v>253</v>
      </c>
      <c r="AN34" s="111">
        <v>83.87</v>
      </c>
      <c r="AO34" s="111">
        <v>1469627</v>
      </c>
      <c r="AP34" s="111">
        <v>0</v>
      </c>
      <c r="AQ34" s="111">
        <v>7823816.5</v>
      </c>
      <c r="AR34" s="224">
        <v>0</v>
      </c>
      <c r="AS34" s="224"/>
      <c r="AT34" s="111">
        <v>302550.94</v>
      </c>
      <c r="AU34" s="111">
        <v>28027.5</v>
      </c>
      <c r="AV34" s="111">
        <v>3599</v>
      </c>
      <c r="AW34" s="111">
        <v>3599</v>
      </c>
      <c r="AX34" s="111">
        <v>1189928.53</v>
      </c>
      <c r="AY34" s="111">
        <v>889255.58</v>
      </c>
      <c r="AZ34" s="111">
        <v>10334386.470000001</v>
      </c>
      <c r="BA34" s="111">
        <v>2510569.9700000002</v>
      </c>
      <c r="BB34" s="111">
        <v>0</v>
      </c>
      <c r="BC34" s="111">
        <v>32227.200000000001</v>
      </c>
      <c r="BD34" s="111">
        <v>6478.2</v>
      </c>
      <c r="BE34" s="111">
        <v>0</v>
      </c>
      <c r="BF34" s="111">
        <v>79865.55</v>
      </c>
      <c r="BG34" s="111">
        <v>0</v>
      </c>
      <c r="BH34" s="111">
        <v>1107383</v>
      </c>
      <c r="BI34" s="111">
        <v>7136155</v>
      </c>
      <c r="BJ34" s="111">
        <v>687661.5</v>
      </c>
      <c r="BK34" s="111">
        <v>7136155</v>
      </c>
      <c r="BL34" s="111">
        <v>687661.5</v>
      </c>
      <c r="BM34" s="111">
        <v>64782</v>
      </c>
    </row>
    <row r="35" spans="1:65" ht="14.45" customHeight="1">
      <c r="A35" s="225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 t="s">
        <v>230</v>
      </c>
      <c r="AC35" s="225"/>
      <c r="AD35" s="225"/>
      <c r="AE35" s="225"/>
      <c r="AF35" s="225" t="s">
        <v>327</v>
      </c>
      <c r="AG35" s="225"/>
      <c r="AH35" s="225"/>
      <c r="AI35" s="225"/>
      <c r="AJ35" s="224">
        <v>12</v>
      </c>
      <c r="AK35" s="224"/>
      <c r="AL35" s="111">
        <v>27</v>
      </c>
      <c r="AM35" s="111">
        <v>203</v>
      </c>
      <c r="AN35" s="111">
        <v>68</v>
      </c>
      <c r="AO35" s="111">
        <v>523074</v>
      </c>
      <c r="AP35" s="111">
        <v>0</v>
      </c>
      <c r="AQ35" s="111">
        <v>6148577</v>
      </c>
      <c r="AR35" s="224">
        <v>0</v>
      </c>
      <c r="AS35" s="224"/>
      <c r="AT35" s="111">
        <v>251200.44</v>
      </c>
      <c r="AU35" s="111">
        <v>29148.6</v>
      </c>
      <c r="AV35" s="111">
        <v>1655</v>
      </c>
      <c r="AW35" s="111">
        <v>1655</v>
      </c>
      <c r="AX35" s="111">
        <v>630912.72</v>
      </c>
      <c r="AY35" s="111">
        <v>642240.14</v>
      </c>
      <c r="AZ35" s="111">
        <v>7728271.5099999998</v>
      </c>
      <c r="BA35" s="111">
        <v>1579694.51</v>
      </c>
      <c r="BB35" s="111">
        <v>0</v>
      </c>
      <c r="BC35" s="111">
        <v>25286.400000000001</v>
      </c>
      <c r="BD35" s="111">
        <v>2979</v>
      </c>
      <c r="BE35" s="111">
        <v>0</v>
      </c>
      <c r="BF35" s="111">
        <v>47741.93</v>
      </c>
      <c r="BG35" s="111">
        <v>0</v>
      </c>
      <c r="BH35" s="111">
        <v>551308</v>
      </c>
      <c r="BI35" s="111">
        <v>4706988</v>
      </c>
      <c r="BJ35" s="111">
        <v>1441589</v>
      </c>
      <c r="BK35" s="111">
        <v>4706988</v>
      </c>
      <c r="BL35" s="111">
        <v>1441589</v>
      </c>
      <c r="BM35" s="111">
        <v>29790</v>
      </c>
    </row>
    <row r="36" spans="1:65" ht="14.45" customHeight="1">
      <c r="A36" s="225"/>
      <c r="B36" s="225"/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 t="s">
        <v>223</v>
      </c>
      <c r="AC36" s="225"/>
      <c r="AD36" s="225"/>
      <c r="AE36" s="225"/>
      <c r="AF36" s="225" t="s">
        <v>323</v>
      </c>
      <c r="AG36" s="225"/>
      <c r="AH36" s="225"/>
      <c r="AI36" s="225"/>
      <c r="AJ36" s="224">
        <v>19</v>
      </c>
      <c r="AK36" s="224"/>
      <c r="AL36" s="111">
        <v>42</v>
      </c>
      <c r="AM36" s="111">
        <v>487</v>
      </c>
      <c r="AN36" s="111">
        <v>133.5</v>
      </c>
      <c r="AO36" s="111">
        <v>1119730</v>
      </c>
      <c r="AP36" s="111">
        <v>169071</v>
      </c>
      <c r="AQ36" s="111">
        <v>10728358.199999999</v>
      </c>
      <c r="AR36" s="224">
        <v>1521639</v>
      </c>
      <c r="AS36" s="224"/>
      <c r="AT36" s="111">
        <v>661201.11</v>
      </c>
      <c r="AU36" s="111">
        <v>173649.3</v>
      </c>
      <c r="AV36" s="111">
        <v>2458</v>
      </c>
      <c r="AW36" s="111">
        <v>2458</v>
      </c>
      <c r="AX36" s="111">
        <v>1393326.91</v>
      </c>
      <c r="AY36" s="111">
        <v>1037464.84</v>
      </c>
      <c r="AZ36" s="111">
        <v>15168535.439999999</v>
      </c>
      <c r="BA36" s="111">
        <v>2918538.24</v>
      </c>
      <c r="BB36" s="111">
        <v>0</v>
      </c>
      <c r="BC36" s="111">
        <v>32227.200000000001</v>
      </c>
      <c r="BD36" s="111">
        <v>4275</v>
      </c>
      <c r="BE36" s="111">
        <v>0</v>
      </c>
      <c r="BF36" s="111">
        <v>78726.12</v>
      </c>
      <c r="BG36" s="111">
        <v>0</v>
      </c>
      <c r="BH36" s="111">
        <v>930688</v>
      </c>
      <c r="BI36" s="111">
        <v>9863428.1999999993</v>
      </c>
      <c r="BJ36" s="111">
        <v>864930</v>
      </c>
      <c r="BK36" s="111">
        <v>9863428.1999999993</v>
      </c>
      <c r="BL36" s="111">
        <v>864930</v>
      </c>
      <c r="BM36" s="111">
        <v>42750</v>
      </c>
    </row>
    <row r="37" spans="1:65" ht="14.45" customHeight="1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5" t="s">
        <v>237</v>
      </c>
      <c r="AC37" s="225"/>
      <c r="AD37" s="225"/>
      <c r="AE37" s="225"/>
      <c r="AF37" s="225" t="s">
        <v>330</v>
      </c>
      <c r="AG37" s="225"/>
      <c r="AH37" s="225"/>
      <c r="AI37" s="225"/>
      <c r="AJ37" s="224">
        <v>13</v>
      </c>
      <c r="AK37" s="224"/>
      <c r="AL37" s="111">
        <v>28</v>
      </c>
      <c r="AM37" s="111">
        <v>256</v>
      </c>
      <c r="AN37" s="111">
        <v>91.8</v>
      </c>
      <c r="AO37" s="111">
        <v>970682</v>
      </c>
      <c r="AP37" s="111">
        <v>0</v>
      </c>
      <c r="AQ37" s="111">
        <v>7456561.5999999996</v>
      </c>
      <c r="AR37" s="224">
        <v>0</v>
      </c>
      <c r="AS37" s="224"/>
      <c r="AT37" s="111">
        <v>405478.75</v>
      </c>
      <c r="AU37" s="111">
        <v>28027.5</v>
      </c>
      <c r="AV37" s="111">
        <v>2233</v>
      </c>
      <c r="AW37" s="111">
        <v>2233</v>
      </c>
      <c r="AX37" s="111">
        <v>835058.83</v>
      </c>
      <c r="AY37" s="111">
        <v>765747.86</v>
      </c>
      <c r="AZ37" s="111">
        <v>9331552.0700000003</v>
      </c>
      <c r="BA37" s="111">
        <v>1874990.47</v>
      </c>
      <c r="BB37" s="111">
        <v>0</v>
      </c>
      <c r="BC37" s="111">
        <v>28756.799999999999</v>
      </c>
      <c r="BD37" s="111">
        <v>4019.4</v>
      </c>
      <c r="BE37" s="111">
        <v>0</v>
      </c>
      <c r="BF37" s="111">
        <v>52635.16</v>
      </c>
      <c r="BG37" s="111">
        <v>0</v>
      </c>
      <c r="BH37" s="111">
        <v>550131</v>
      </c>
      <c r="BI37" s="111">
        <v>6792664.5999999996</v>
      </c>
      <c r="BJ37" s="111">
        <v>663897</v>
      </c>
      <c r="BK37" s="111">
        <v>6792664.5999999996</v>
      </c>
      <c r="BL37" s="111">
        <v>663897</v>
      </c>
      <c r="BM37" s="111">
        <v>40194</v>
      </c>
    </row>
    <row r="38" spans="1:65" ht="14.45" customHeight="1">
      <c r="A38" s="225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 t="s">
        <v>189</v>
      </c>
      <c r="AC38" s="225"/>
      <c r="AD38" s="225"/>
      <c r="AE38" s="225"/>
      <c r="AF38" s="225" t="s">
        <v>370</v>
      </c>
      <c r="AG38" s="225"/>
      <c r="AH38" s="225"/>
      <c r="AI38" s="225"/>
      <c r="AJ38" s="224">
        <v>9</v>
      </c>
      <c r="AK38" s="224"/>
      <c r="AL38" s="111">
        <v>23</v>
      </c>
      <c r="AM38" s="111">
        <v>169</v>
      </c>
      <c r="AN38" s="111">
        <v>56.1</v>
      </c>
      <c r="AO38" s="111">
        <v>149009</v>
      </c>
      <c r="AP38" s="111">
        <v>0</v>
      </c>
      <c r="AQ38" s="111">
        <v>5185906.5</v>
      </c>
      <c r="AR38" s="224">
        <v>0</v>
      </c>
      <c r="AS38" s="224"/>
      <c r="AT38" s="111">
        <v>211999.47</v>
      </c>
      <c r="AU38" s="111">
        <v>23543.1</v>
      </c>
      <c r="AV38" s="111">
        <v>2147</v>
      </c>
      <c r="AW38" s="111">
        <v>2147</v>
      </c>
      <c r="AX38" s="111">
        <v>683679.09</v>
      </c>
      <c r="AY38" s="111">
        <v>518732.42</v>
      </c>
      <c r="AZ38" s="111">
        <v>6538677.3099999996</v>
      </c>
      <c r="BA38" s="111">
        <v>1352770.81</v>
      </c>
      <c r="BB38" s="111">
        <v>0</v>
      </c>
      <c r="BC38" s="111">
        <v>21816</v>
      </c>
      <c r="BD38" s="111">
        <v>3864.6</v>
      </c>
      <c r="BE38" s="111">
        <v>0</v>
      </c>
      <c r="BF38" s="111">
        <v>40496.22</v>
      </c>
      <c r="BG38" s="111">
        <v>0</v>
      </c>
      <c r="BH38" s="111">
        <v>493673</v>
      </c>
      <c r="BI38" s="111">
        <v>3585307</v>
      </c>
      <c r="BJ38" s="111">
        <v>1600599.5</v>
      </c>
      <c r="BK38" s="111">
        <v>3585307</v>
      </c>
      <c r="BL38" s="111">
        <v>1600599.5</v>
      </c>
      <c r="BM38" s="111">
        <v>38646</v>
      </c>
    </row>
    <row r="39" spans="1:65" ht="14.45" customHeight="1">
      <c r="A39" s="225"/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25"/>
      <c r="Y39" s="225"/>
      <c r="Z39" s="225"/>
      <c r="AA39" s="225"/>
      <c r="AB39" s="225" t="s">
        <v>216</v>
      </c>
      <c r="AC39" s="225"/>
      <c r="AD39" s="225"/>
      <c r="AE39" s="225"/>
      <c r="AF39" s="225" t="s">
        <v>321</v>
      </c>
      <c r="AG39" s="225"/>
      <c r="AH39" s="225"/>
      <c r="AI39" s="225"/>
      <c r="AJ39" s="224">
        <v>15</v>
      </c>
      <c r="AK39" s="224"/>
      <c r="AL39" s="111">
        <v>34</v>
      </c>
      <c r="AM39" s="111">
        <v>178</v>
      </c>
      <c r="AN39" s="111">
        <v>52.02</v>
      </c>
      <c r="AO39" s="111">
        <v>1296260</v>
      </c>
      <c r="AP39" s="111">
        <v>0</v>
      </c>
      <c r="AQ39" s="111">
        <v>7594980</v>
      </c>
      <c r="AR39" s="224">
        <v>0</v>
      </c>
      <c r="AS39" s="224"/>
      <c r="AT39" s="111">
        <v>292756.64</v>
      </c>
      <c r="AU39" s="111">
        <v>0</v>
      </c>
      <c r="AV39" s="111">
        <v>2435</v>
      </c>
      <c r="AW39" s="111">
        <v>2435</v>
      </c>
      <c r="AX39" s="111">
        <v>1008327.61</v>
      </c>
      <c r="AY39" s="111">
        <v>889255.58</v>
      </c>
      <c r="AZ39" s="111">
        <v>9529646.9700000007</v>
      </c>
      <c r="BA39" s="111">
        <v>1934666.97</v>
      </c>
      <c r="BB39" s="111">
        <v>0</v>
      </c>
      <c r="BC39" s="111">
        <v>32227.200000000001</v>
      </c>
      <c r="BD39" s="111">
        <v>4383</v>
      </c>
      <c r="BE39" s="111">
        <v>0</v>
      </c>
      <c r="BF39" s="111">
        <v>60056.55</v>
      </c>
      <c r="BG39" s="111">
        <v>0</v>
      </c>
      <c r="BH39" s="111">
        <v>612158</v>
      </c>
      <c r="BI39" s="111">
        <v>5858504</v>
      </c>
      <c r="BJ39" s="111">
        <v>1736476</v>
      </c>
      <c r="BK39" s="111">
        <v>5858504</v>
      </c>
      <c r="BL39" s="111">
        <v>1736476</v>
      </c>
      <c r="BM39" s="111">
        <v>43830</v>
      </c>
    </row>
    <row r="40" spans="1:65" ht="14.45" customHeight="1">
      <c r="A40" s="225"/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25"/>
      <c r="Y40" s="225"/>
      <c r="Z40" s="225"/>
      <c r="AA40" s="225"/>
      <c r="AB40" s="225" t="s">
        <v>232</v>
      </c>
      <c r="AC40" s="225"/>
      <c r="AD40" s="225"/>
      <c r="AE40" s="225"/>
      <c r="AF40" s="225" t="s">
        <v>374</v>
      </c>
      <c r="AG40" s="225"/>
      <c r="AH40" s="225"/>
      <c r="AI40" s="225"/>
      <c r="AJ40" s="224">
        <v>20</v>
      </c>
      <c r="AK40" s="224"/>
      <c r="AL40" s="111">
        <v>45</v>
      </c>
      <c r="AM40" s="111">
        <v>844</v>
      </c>
      <c r="AN40" s="111">
        <v>148.56</v>
      </c>
      <c r="AO40" s="111">
        <v>408727</v>
      </c>
      <c r="AP40" s="111">
        <v>0</v>
      </c>
      <c r="AQ40" s="111">
        <v>13919240.6</v>
      </c>
      <c r="AR40" s="224">
        <v>0</v>
      </c>
      <c r="AS40" s="224"/>
      <c r="AT40" s="111">
        <v>511836.6</v>
      </c>
      <c r="AU40" s="111">
        <v>84082.5</v>
      </c>
      <c r="AV40" s="111">
        <v>5655.9</v>
      </c>
      <c r="AW40" s="111">
        <v>5655.9</v>
      </c>
      <c r="AX40" s="111">
        <v>2167872.4700000002</v>
      </c>
      <c r="AY40" s="111">
        <v>930424.82</v>
      </c>
      <c r="AZ40" s="111">
        <v>16992740.129999999</v>
      </c>
      <c r="BA40" s="111">
        <v>3073499.53</v>
      </c>
      <c r="BB40" s="111">
        <v>0</v>
      </c>
      <c r="BC40" s="111">
        <v>21816</v>
      </c>
      <c r="BD40" s="111">
        <v>10180.620000000001</v>
      </c>
      <c r="BE40" s="111">
        <v>0</v>
      </c>
      <c r="BF40" s="111">
        <v>88743.71</v>
      </c>
      <c r="BG40" s="111">
        <v>36441.08</v>
      </c>
      <c r="BH40" s="111">
        <v>1288168</v>
      </c>
      <c r="BI40" s="111">
        <v>13919240.6</v>
      </c>
      <c r="BJ40" s="111">
        <v>0</v>
      </c>
      <c r="BK40" s="111">
        <v>13919240.6</v>
      </c>
      <c r="BL40" s="111">
        <v>0</v>
      </c>
      <c r="BM40" s="111">
        <v>101806.2</v>
      </c>
    </row>
    <row r="41" spans="1:65" ht="14.45" customHeight="1">
      <c r="A41" s="225" t="s">
        <v>79</v>
      </c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4">
        <v>471</v>
      </c>
      <c r="AK41" s="224"/>
      <c r="AL41" s="111">
        <v>1041</v>
      </c>
      <c r="AM41" s="111">
        <v>13210</v>
      </c>
      <c r="AN41" s="111">
        <v>3317.46</v>
      </c>
      <c r="AO41" s="111">
        <v>22381241</v>
      </c>
      <c r="AP41" s="111">
        <v>169071</v>
      </c>
      <c r="AQ41" s="111">
        <v>290222984.39999998</v>
      </c>
      <c r="AR41" s="224">
        <v>1521639</v>
      </c>
      <c r="AS41" s="224"/>
      <c r="AT41" s="111">
        <v>11483539.970000001</v>
      </c>
      <c r="AU41" s="111">
        <v>1432644.6</v>
      </c>
      <c r="AV41" s="111">
        <v>99938.7</v>
      </c>
      <c r="AW41" s="111">
        <v>99938.7</v>
      </c>
      <c r="AX41" s="111">
        <v>40033956.899999999</v>
      </c>
      <c r="AY41" s="111">
        <v>25689605.600000001</v>
      </c>
      <c r="AZ41" s="111">
        <v>361224005.48000002</v>
      </c>
      <c r="BA41" s="111">
        <v>69479382.079999998</v>
      </c>
      <c r="BB41" s="111">
        <v>0</v>
      </c>
      <c r="BC41" s="111">
        <v>795772.8</v>
      </c>
      <c r="BD41" s="111">
        <v>178309.26</v>
      </c>
      <c r="BE41" s="111">
        <v>0</v>
      </c>
      <c r="BF41" s="111">
        <v>2061064.1</v>
      </c>
      <c r="BG41" s="111">
        <v>281715.96999999997</v>
      </c>
      <c r="BH41" s="111">
        <v>25836994</v>
      </c>
      <c r="BI41" s="111">
        <v>259082098.40000001</v>
      </c>
      <c r="BJ41" s="111">
        <v>31140886</v>
      </c>
      <c r="BK41" s="111">
        <v>259082098.40000001</v>
      </c>
      <c r="BL41" s="111">
        <v>31140886</v>
      </c>
      <c r="BM41" s="111">
        <v>1783092.6</v>
      </c>
    </row>
  </sheetData>
  <mergeCells count="159">
    <mergeCell ref="A1:AR1"/>
    <mergeCell ref="A2:AJ2"/>
    <mergeCell ref="A3:AJ3"/>
    <mergeCell ref="A4:AJ4"/>
    <mergeCell ref="A5:AJ5"/>
    <mergeCell ref="A8:D8"/>
    <mergeCell ref="AJ7:BM7"/>
    <mergeCell ref="AJ8:AK8"/>
    <mergeCell ref="A9:D40"/>
    <mergeCell ref="AB9:AE9"/>
    <mergeCell ref="AB24:AE24"/>
    <mergeCell ref="AB25:AE25"/>
    <mergeCell ref="AB26:AE26"/>
    <mergeCell ref="AB27:AE27"/>
    <mergeCell ref="AB16:AE16"/>
    <mergeCell ref="AB17:AE17"/>
    <mergeCell ref="AB18:AE18"/>
    <mergeCell ref="AB19:AE19"/>
    <mergeCell ref="AB20:AE20"/>
    <mergeCell ref="AB21:AE21"/>
    <mergeCell ref="AB40:AE40"/>
    <mergeCell ref="AF8:AI8"/>
    <mergeCell ref="AF9:AI9"/>
    <mergeCell ref="AF10:AI10"/>
    <mergeCell ref="D6:E6"/>
    <mergeCell ref="E8:I8"/>
    <mergeCell ref="E9:I40"/>
    <mergeCell ref="I6:J6"/>
    <mergeCell ref="J8:M8"/>
    <mergeCell ref="J9:M40"/>
    <mergeCell ref="M6:N6"/>
    <mergeCell ref="N8:R8"/>
    <mergeCell ref="AB10:AE10"/>
    <mergeCell ref="AB11:AE11"/>
    <mergeCell ref="AB12:AE12"/>
    <mergeCell ref="AB13:AE13"/>
    <mergeCell ref="AB14:AE14"/>
    <mergeCell ref="AB15:AE15"/>
    <mergeCell ref="N9:R40"/>
    <mergeCell ref="R6:S6"/>
    <mergeCell ref="S8:V8"/>
    <mergeCell ref="S9:V40"/>
    <mergeCell ref="V6:W6"/>
    <mergeCell ref="W8:AA8"/>
    <mergeCell ref="W9:AA40"/>
    <mergeCell ref="AA6:AB6"/>
    <mergeCell ref="AB8:AE8"/>
    <mergeCell ref="AB34:AE34"/>
    <mergeCell ref="AB35:AE35"/>
    <mergeCell ref="AB36:AE36"/>
    <mergeCell ref="AB22:AE22"/>
    <mergeCell ref="AB23:AE23"/>
    <mergeCell ref="A41:AI41"/>
    <mergeCell ref="AB37:AE37"/>
    <mergeCell ref="AB38:AE38"/>
    <mergeCell ref="AB39:AE39"/>
    <mergeCell ref="AB28:AE28"/>
    <mergeCell ref="AB29:AE29"/>
    <mergeCell ref="AB30:AE30"/>
    <mergeCell ref="AB31:AE31"/>
    <mergeCell ref="AB32:AE32"/>
    <mergeCell ref="AB33:AE33"/>
    <mergeCell ref="AF38:AI38"/>
    <mergeCell ref="AF39:AI39"/>
    <mergeCell ref="AF40:AI40"/>
    <mergeCell ref="AF29:AI29"/>
    <mergeCell ref="AF30:AI30"/>
    <mergeCell ref="AF31:AI31"/>
    <mergeCell ref="AF35:AI35"/>
    <mergeCell ref="AF36:AI36"/>
    <mergeCell ref="AF37:AI37"/>
    <mergeCell ref="AF23:AI23"/>
    <mergeCell ref="AF20:AI20"/>
    <mergeCell ref="AF21:AI21"/>
    <mergeCell ref="AF22:AI22"/>
    <mergeCell ref="AF11:AI11"/>
    <mergeCell ref="AF12:AI12"/>
    <mergeCell ref="AF13:AI13"/>
    <mergeCell ref="AF14:AI14"/>
    <mergeCell ref="AF15:AI15"/>
    <mergeCell ref="AF16:AI16"/>
    <mergeCell ref="AJ9:AK9"/>
    <mergeCell ref="AJ10:AK10"/>
    <mergeCell ref="AJ11:AK11"/>
    <mergeCell ref="AJ12:AK12"/>
    <mergeCell ref="AJ13:AK13"/>
    <mergeCell ref="AJ14:AK14"/>
    <mergeCell ref="AF17:AI17"/>
    <mergeCell ref="AF18:AI18"/>
    <mergeCell ref="AF19:AI19"/>
    <mergeCell ref="AJ15:AK15"/>
    <mergeCell ref="AJ16:AK16"/>
    <mergeCell ref="AJ17:AK17"/>
    <mergeCell ref="AF24:AI24"/>
    <mergeCell ref="AF25:AI25"/>
    <mergeCell ref="AF26:AI26"/>
    <mergeCell ref="AF27:AI27"/>
    <mergeCell ref="AF28:AI28"/>
    <mergeCell ref="AF32:AI32"/>
    <mergeCell ref="AF33:AI33"/>
    <mergeCell ref="AF34:AI34"/>
    <mergeCell ref="AR8:AS8"/>
    <mergeCell ref="AR9:AS9"/>
    <mergeCell ref="AR10:AS10"/>
    <mergeCell ref="AR11:AS11"/>
    <mergeCell ref="AR12:AS12"/>
    <mergeCell ref="AR13:AS13"/>
    <mergeCell ref="AR14:AS14"/>
    <mergeCell ref="AJ33:AK33"/>
    <mergeCell ref="AJ34:AK34"/>
    <mergeCell ref="AJ27:AK27"/>
    <mergeCell ref="AJ28:AK28"/>
    <mergeCell ref="AJ29:AK29"/>
    <mergeCell ref="AJ30:AK30"/>
    <mergeCell ref="AJ31:AK31"/>
    <mergeCell ref="AJ32:AK32"/>
    <mergeCell ref="AJ21:AK21"/>
    <mergeCell ref="AR15:AS15"/>
    <mergeCell ref="AR16:AS16"/>
    <mergeCell ref="AR17:AS17"/>
    <mergeCell ref="AR18:AS18"/>
    <mergeCell ref="AR19:AS19"/>
    <mergeCell ref="AR20:AS20"/>
    <mergeCell ref="AJ39:AK39"/>
    <mergeCell ref="AJ40:AK40"/>
    <mergeCell ref="AJ41:AK41"/>
    <mergeCell ref="AJ35:AK35"/>
    <mergeCell ref="AJ36:AK36"/>
    <mergeCell ref="AJ37:AK37"/>
    <mergeCell ref="AJ38:AK38"/>
    <mergeCell ref="AJ18:AK18"/>
    <mergeCell ref="AJ19:AK19"/>
    <mergeCell ref="AJ20:AK20"/>
    <mergeCell ref="AJ22:AK22"/>
    <mergeCell ref="AJ23:AK23"/>
    <mergeCell ref="AJ24:AK24"/>
    <mergeCell ref="AJ25:AK25"/>
    <mergeCell ref="AJ26:AK26"/>
    <mergeCell ref="AR27:AS27"/>
    <mergeCell ref="AR28:AS28"/>
    <mergeCell ref="AR29:AS29"/>
    <mergeCell ref="AR30:AS30"/>
    <mergeCell ref="AR31:AS31"/>
    <mergeCell ref="AR32:AS32"/>
    <mergeCell ref="AR21:AS21"/>
    <mergeCell ref="AR22:AS22"/>
    <mergeCell ref="AR23:AS23"/>
    <mergeCell ref="AR24:AS24"/>
    <mergeCell ref="AR25:AS25"/>
    <mergeCell ref="AR26:AS26"/>
    <mergeCell ref="AR39:AS39"/>
    <mergeCell ref="AR40:AS40"/>
    <mergeCell ref="AR41:AS41"/>
    <mergeCell ref="AR33:AS33"/>
    <mergeCell ref="AR34:AS34"/>
    <mergeCell ref="AR35:AS35"/>
    <mergeCell ref="AR36:AS36"/>
    <mergeCell ref="AR37:AS37"/>
    <mergeCell ref="AR38:AS3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Y52"/>
  <sheetViews>
    <sheetView showGridLines="0" workbookViewId="0">
      <selection activeCell="A9" sqref="A9:B45"/>
    </sheetView>
  </sheetViews>
  <sheetFormatPr defaultRowHeight="12.75"/>
  <cols>
    <col min="1" max="1" width="3.33203125" style="105" customWidth="1"/>
    <col min="2" max="2" width="2.21875" style="105" customWidth="1"/>
    <col min="3" max="3" width="1.109375" style="105" customWidth="1"/>
    <col min="4" max="4" width="3.33203125" style="105" customWidth="1"/>
    <col min="5" max="5" width="1.109375" style="105" customWidth="1"/>
    <col min="6" max="6" width="2.21875" style="105" customWidth="1"/>
    <col min="7" max="8" width="3.33203125" style="105" customWidth="1"/>
    <col min="9" max="9" width="2.21875" style="105" customWidth="1"/>
    <col min="10" max="10" width="1.109375" style="105" customWidth="1"/>
    <col min="11" max="11" width="3.33203125" style="105" customWidth="1"/>
    <col min="12" max="12" width="1.109375" style="105" customWidth="1"/>
    <col min="13" max="13" width="2.21875" style="105" customWidth="1"/>
    <col min="14" max="15" width="3.33203125" style="105" customWidth="1"/>
    <col min="16" max="16" width="2.21875" style="105" customWidth="1"/>
    <col min="17" max="17" width="1.109375" style="105" customWidth="1"/>
    <col min="18" max="18" width="3.33203125" style="105" customWidth="1"/>
    <col min="19" max="19" width="1.109375" style="105" customWidth="1"/>
    <col min="20" max="20" width="2.21875" style="105" customWidth="1"/>
    <col min="21" max="22" width="3.33203125" style="105" customWidth="1"/>
    <col min="23" max="23" width="2.21875" style="105" customWidth="1"/>
    <col min="24" max="24" width="1.109375" style="105" customWidth="1"/>
    <col min="25" max="25" width="3.33203125" style="105" customWidth="1"/>
    <col min="26" max="26" width="1.109375" style="105" customWidth="1"/>
    <col min="27" max="27" width="2.21875" style="105" customWidth="1"/>
    <col min="28" max="29" width="3.33203125" style="105" customWidth="1"/>
    <col min="30" max="30" width="2.21875" style="105" customWidth="1"/>
    <col min="31" max="31" width="1.109375" style="105" customWidth="1"/>
    <col min="32" max="32" width="3.33203125" style="105" customWidth="1"/>
    <col min="33" max="33" width="1.109375" style="105" customWidth="1"/>
    <col min="34" max="34" width="2.21875" style="105" customWidth="1"/>
    <col min="35" max="36" width="3.33203125" style="105" customWidth="1"/>
    <col min="37" max="37" width="2.21875" style="105" customWidth="1"/>
    <col min="38" max="38" width="1.109375" style="105" customWidth="1"/>
    <col min="39" max="39" width="3.33203125" style="105" customWidth="1"/>
    <col min="40" max="40" width="1.109375" style="105" customWidth="1"/>
    <col min="41" max="41" width="2.21875" style="105" customWidth="1"/>
    <col min="42" max="43" width="3.33203125" style="105" customWidth="1"/>
    <col min="44" max="44" width="2.21875" style="105" customWidth="1"/>
    <col min="45" max="45" width="1.109375" style="105" customWidth="1"/>
    <col min="46" max="46" width="3.33203125" style="105" customWidth="1"/>
    <col min="47" max="47" width="1.109375" style="105" customWidth="1"/>
    <col min="48" max="48" width="2.21875" style="105" customWidth="1"/>
    <col min="49" max="50" width="3.33203125" style="105" customWidth="1"/>
    <col min="51" max="51" width="2.21875" style="105" customWidth="1"/>
    <col min="52" max="52" width="1.109375" style="105" customWidth="1"/>
    <col min="53" max="53" width="3.33203125" style="105" customWidth="1"/>
    <col min="54" max="54" width="1.109375" style="105" customWidth="1"/>
    <col min="55" max="55" width="0.21875" style="105" customWidth="1"/>
    <col min="56" max="56" width="2" style="105" customWidth="1"/>
    <col min="57" max="58" width="3.33203125" style="105" customWidth="1"/>
    <col min="59" max="59" width="2.21875" style="105" customWidth="1"/>
    <col min="60" max="60" width="1.109375" style="105" customWidth="1"/>
    <col min="61" max="61" width="4.44140625" style="105" customWidth="1"/>
    <col min="62" max="103" width="11.109375" style="105" customWidth="1"/>
    <col min="104" max="256" width="8.88671875" style="105"/>
    <col min="257" max="257" width="3.33203125" style="105" customWidth="1"/>
    <col min="258" max="258" width="2.21875" style="105" customWidth="1"/>
    <col min="259" max="259" width="1.109375" style="105" customWidth="1"/>
    <col min="260" max="260" width="3.33203125" style="105" customWidth="1"/>
    <col min="261" max="261" width="1.109375" style="105" customWidth="1"/>
    <col min="262" max="262" width="2.21875" style="105" customWidth="1"/>
    <col min="263" max="264" width="3.33203125" style="105" customWidth="1"/>
    <col min="265" max="265" width="2.21875" style="105" customWidth="1"/>
    <col min="266" max="266" width="1.109375" style="105" customWidth="1"/>
    <col min="267" max="267" width="3.33203125" style="105" customWidth="1"/>
    <col min="268" max="268" width="1.109375" style="105" customWidth="1"/>
    <col min="269" max="269" width="2.21875" style="105" customWidth="1"/>
    <col min="270" max="271" width="3.33203125" style="105" customWidth="1"/>
    <col min="272" max="272" width="2.21875" style="105" customWidth="1"/>
    <col min="273" max="273" width="1.109375" style="105" customWidth="1"/>
    <col min="274" max="274" width="3.33203125" style="105" customWidth="1"/>
    <col min="275" max="275" width="1.109375" style="105" customWidth="1"/>
    <col min="276" max="276" width="2.21875" style="105" customWidth="1"/>
    <col min="277" max="278" width="3.33203125" style="105" customWidth="1"/>
    <col min="279" max="279" width="2.21875" style="105" customWidth="1"/>
    <col min="280" max="280" width="1.109375" style="105" customWidth="1"/>
    <col min="281" max="281" width="3.33203125" style="105" customWidth="1"/>
    <col min="282" max="282" width="1.109375" style="105" customWidth="1"/>
    <col min="283" max="283" width="2.21875" style="105" customWidth="1"/>
    <col min="284" max="285" width="3.33203125" style="105" customWidth="1"/>
    <col min="286" max="286" width="2.21875" style="105" customWidth="1"/>
    <col min="287" max="287" width="1.109375" style="105" customWidth="1"/>
    <col min="288" max="288" width="3.33203125" style="105" customWidth="1"/>
    <col min="289" max="289" width="1.109375" style="105" customWidth="1"/>
    <col min="290" max="290" width="2.21875" style="105" customWidth="1"/>
    <col min="291" max="292" width="3.33203125" style="105" customWidth="1"/>
    <col min="293" max="293" width="2.21875" style="105" customWidth="1"/>
    <col min="294" max="294" width="1.109375" style="105" customWidth="1"/>
    <col min="295" max="295" width="3.33203125" style="105" customWidth="1"/>
    <col min="296" max="296" width="1.109375" style="105" customWidth="1"/>
    <col min="297" max="297" width="2.21875" style="105" customWidth="1"/>
    <col min="298" max="299" width="3.33203125" style="105" customWidth="1"/>
    <col min="300" max="300" width="2.21875" style="105" customWidth="1"/>
    <col min="301" max="301" width="1.109375" style="105" customWidth="1"/>
    <col min="302" max="302" width="3.33203125" style="105" customWidth="1"/>
    <col min="303" max="303" width="1.109375" style="105" customWidth="1"/>
    <col min="304" max="304" width="2.21875" style="105" customWidth="1"/>
    <col min="305" max="306" width="3.33203125" style="105" customWidth="1"/>
    <col min="307" max="307" width="2.21875" style="105" customWidth="1"/>
    <col min="308" max="308" width="1.109375" style="105" customWidth="1"/>
    <col min="309" max="309" width="3.33203125" style="105" customWidth="1"/>
    <col min="310" max="310" width="1.109375" style="105" customWidth="1"/>
    <col min="311" max="311" width="0.21875" style="105" customWidth="1"/>
    <col min="312" max="312" width="2" style="105" customWidth="1"/>
    <col min="313" max="314" width="3.33203125" style="105" customWidth="1"/>
    <col min="315" max="315" width="2.21875" style="105" customWidth="1"/>
    <col min="316" max="316" width="1.109375" style="105" customWidth="1"/>
    <col min="317" max="317" width="4.44140625" style="105" customWidth="1"/>
    <col min="318" max="359" width="11.109375" style="105" customWidth="1"/>
    <col min="360" max="512" width="8.88671875" style="105"/>
    <col min="513" max="513" width="3.33203125" style="105" customWidth="1"/>
    <col min="514" max="514" width="2.21875" style="105" customWidth="1"/>
    <col min="515" max="515" width="1.109375" style="105" customWidth="1"/>
    <col min="516" max="516" width="3.33203125" style="105" customWidth="1"/>
    <col min="517" max="517" width="1.109375" style="105" customWidth="1"/>
    <col min="518" max="518" width="2.21875" style="105" customWidth="1"/>
    <col min="519" max="520" width="3.33203125" style="105" customWidth="1"/>
    <col min="521" max="521" width="2.21875" style="105" customWidth="1"/>
    <col min="522" max="522" width="1.109375" style="105" customWidth="1"/>
    <col min="523" max="523" width="3.33203125" style="105" customWidth="1"/>
    <col min="524" max="524" width="1.109375" style="105" customWidth="1"/>
    <col min="525" max="525" width="2.21875" style="105" customWidth="1"/>
    <col min="526" max="527" width="3.33203125" style="105" customWidth="1"/>
    <col min="528" max="528" width="2.21875" style="105" customWidth="1"/>
    <col min="529" max="529" width="1.109375" style="105" customWidth="1"/>
    <col min="530" max="530" width="3.33203125" style="105" customWidth="1"/>
    <col min="531" max="531" width="1.109375" style="105" customWidth="1"/>
    <col min="532" max="532" width="2.21875" style="105" customWidth="1"/>
    <col min="533" max="534" width="3.33203125" style="105" customWidth="1"/>
    <col min="535" max="535" width="2.21875" style="105" customWidth="1"/>
    <col min="536" max="536" width="1.109375" style="105" customWidth="1"/>
    <col min="537" max="537" width="3.33203125" style="105" customWidth="1"/>
    <col min="538" max="538" width="1.109375" style="105" customWidth="1"/>
    <col min="539" max="539" width="2.21875" style="105" customWidth="1"/>
    <col min="540" max="541" width="3.33203125" style="105" customWidth="1"/>
    <col min="542" max="542" width="2.21875" style="105" customWidth="1"/>
    <col min="543" max="543" width="1.109375" style="105" customWidth="1"/>
    <col min="544" max="544" width="3.33203125" style="105" customWidth="1"/>
    <col min="545" max="545" width="1.109375" style="105" customWidth="1"/>
    <col min="546" max="546" width="2.21875" style="105" customWidth="1"/>
    <col min="547" max="548" width="3.33203125" style="105" customWidth="1"/>
    <col min="549" max="549" width="2.21875" style="105" customWidth="1"/>
    <col min="550" max="550" width="1.109375" style="105" customWidth="1"/>
    <col min="551" max="551" width="3.33203125" style="105" customWidth="1"/>
    <col min="552" max="552" width="1.109375" style="105" customWidth="1"/>
    <col min="553" max="553" width="2.21875" style="105" customWidth="1"/>
    <col min="554" max="555" width="3.33203125" style="105" customWidth="1"/>
    <col min="556" max="556" width="2.21875" style="105" customWidth="1"/>
    <col min="557" max="557" width="1.109375" style="105" customWidth="1"/>
    <col min="558" max="558" width="3.33203125" style="105" customWidth="1"/>
    <col min="559" max="559" width="1.109375" style="105" customWidth="1"/>
    <col min="560" max="560" width="2.21875" style="105" customWidth="1"/>
    <col min="561" max="562" width="3.33203125" style="105" customWidth="1"/>
    <col min="563" max="563" width="2.21875" style="105" customWidth="1"/>
    <col min="564" max="564" width="1.109375" style="105" customWidth="1"/>
    <col min="565" max="565" width="3.33203125" style="105" customWidth="1"/>
    <col min="566" max="566" width="1.109375" style="105" customWidth="1"/>
    <col min="567" max="567" width="0.21875" style="105" customWidth="1"/>
    <col min="568" max="568" width="2" style="105" customWidth="1"/>
    <col min="569" max="570" width="3.33203125" style="105" customWidth="1"/>
    <col min="571" max="571" width="2.21875" style="105" customWidth="1"/>
    <col min="572" max="572" width="1.109375" style="105" customWidth="1"/>
    <col min="573" max="573" width="4.44140625" style="105" customWidth="1"/>
    <col min="574" max="615" width="11.109375" style="105" customWidth="1"/>
    <col min="616" max="768" width="8.88671875" style="105"/>
    <col min="769" max="769" width="3.33203125" style="105" customWidth="1"/>
    <col min="770" max="770" width="2.21875" style="105" customWidth="1"/>
    <col min="771" max="771" width="1.109375" style="105" customWidth="1"/>
    <col min="772" max="772" width="3.33203125" style="105" customWidth="1"/>
    <col min="773" max="773" width="1.109375" style="105" customWidth="1"/>
    <col min="774" max="774" width="2.21875" style="105" customWidth="1"/>
    <col min="775" max="776" width="3.33203125" style="105" customWidth="1"/>
    <col min="777" max="777" width="2.21875" style="105" customWidth="1"/>
    <col min="778" max="778" width="1.109375" style="105" customWidth="1"/>
    <col min="779" max="779" width="3.33203125" style="105" customWidth="1"/>
    <col min="780" max="780" width="1.109375" style="105" customWidth="1"/>
    <col min="781" max="781" width="2.21875" style="105" customWidth="1"/>
    <col min="782" max="783" width="3.33203125" style="105" customWidth="1"/>
    <col min="784" max="784" width="2.21875" style="105" customWidth="1"/>
    <col min="785" max="785" width="1.109375" style="105" customWidth="1"/>
    <col min="786" max="786" width="3.33203125" style="105" customWidth="1"/>
    <col min="787" max="787" width="1.109375" style="105" customWidth="1"/>
    <col min="788" max="788" width="2.21875" style="105" customWidth="1"/>
    <col min="789" max="790" width="3.33203125" style="105" customWidth="1"/>
    <col min="791" max="791" width="2.21875" style="105" customWidth="1"/>
    <col min="792" max="792" width="1.109375" style="105" customWidth="1"/>
    <col min="793" max="793" width="3.33203125" style="105" customWidth="1"/>
    <col min="794" max="794" width="1.109375" style="105" customWidth="1"/>
    <col min="795" max="795" width="2.21875" style="105" customWidth="1"/>
    <col min="796" max="797" width="3.33203125" style="105" customWidth="1"/>
    <col min="798" max="798" width="2.21875" style="105" customWidth="1"/>
    <col min="799" max="799" width="1.109375" style="105" customWidth="1"/>
    <col min="800" max="800" width="3.33203125" style="105" customWidth="1"/>
    <col min="801" max="801" width="1.109375" style="105" customWidth="1"/>
    <col min="802" max="802" width="2.21875" style="105" customWidth="1"/>
    <col min="803" max="804" width="3.33203125" style="105" customWidth="1"/>
    <col min="805" max="805" width="2.21875" style="105" customWidth="1"/>
    <col min="806" max="806" width="1.109375" style="105" customWidth="1"/>
    <col min="807" max="807" width="3.33203125" style="105" customWidth="1"/>
    <col min="808" max="808" width="1.109375" style="105" customWidth="1"/>
    <col min="809" max="809" width="2.21875" style="105" customWidth="1"/>
    <col min="810" max="811" width="3.33203125" style="105" customWidth="1"/>
    <col min="812" max="812" width="2.21875" style="105" customWidth="1"/>
    <col min="813" max="813" width="1.109375" style="105" customWidth="1"/>
    <col min="814" max="814" width="3.33203125" style="105" customWidth="1"/>
    <col min="815" max="815" width="1.109375" style="105" customWidth="1"/>
    <col min="816" max="816" width="2.21875" style="105" customWidth="1"/>
    <col min="817" max="818" width="3.33203125" style="105" customWidth="1"/>
    <col min="819" max="819" width="2.21875" style="105" customWidth="1"/>
    <col min="820" max="820" width="1.109375" style="105" customWidth="1"/>
    <col min="821" max="821" width="3.33203125" style="105" customWidth="1"/>
    <col min="822" max="822" width="1.109375" style="105" customWidth="1"/>
    <col min="823" max="823" width="0.21875" style="105" customWidth="1"/>
    <col min="824" max="824" width="2" style="105" customWidth="1"/>
    <col min="825" max="826" width="3.33203125" style="105" customWidth="1"/>
    <col min="827" max="827" width="2.21875" style="105" customWidth="1"/>
    <col min="828" max="828" width="1.109375" style="105" customWidth="1"/>
    <col min="829" max="829" width="4.44140625" style="105" customWidth="1"/>
    <col min="830" max="871" width="11.109375" style="105" customWidth="1"/>
    <col min="872" max="1024" width="8.88671875" style="105"/>
    <col min="1025" max="1025" width="3.33203125" style="105" customWidth="1"/>
    <col min="1026" max="1026" width="2.21875" style="105" customWidth="1"/>
    <col min="1027" max="1027" width="1.109375" style="105" customWidth="1"/>
    <col min="1028" max="1028" width="3.33203125" style="105" customWidth="1"/>
    <col min="1029" max="1029" width="1.109375" style="105" customWidth="1"/>
    <col min="1030" max="1030" width="2.21875" style="105" customWidth="1"/>
    <col min="1031" max="1032" width="3.33203125" style="105" customWidth="1"/>
    <col min="1033" max="1033" width="2.21875" style="105" customWidth="1"/>
    <col min="1034" max="1034" width="1.109375" style="105" customWidth="1"/>
    <col min="1035" max="1035" width="3.33203125" style="105" customWidth="1"/>
    <col min="1036" max="1036" width="1.109375" style="105" customWidth="1"/>
    <col min="1037" max="1037" width="2.21875" style="105" customWidth="1"/>
    <col min="1038" max="1039" width="3.33203125" style="105" customWidth="1"/>
    <col min="1040" max="1040" width="2.21875" style="105" customWidth="1"/>
    <col min="1041" max="1041" width="1.109375" style="105" customWidth="1"/>
    <col min="1042" max="1042" width="3.33203125" style="105" customWidth="1"/>
    <col min="1043" max="1043" width="1.109375" style="105" customWidth="1"/>
    <col min="1044" max="1044" width="2.21875" style="105" customWidth="1"/>
    <col min="1045" max="1046" width="3.33203125" style="105" customWidth="1"/>
    <col min="1047" max="1047" width="2.21875" style="105" customWidth="1"/>
    <col min="1048" max="1048" width="1.109375" style="105" customWidth="1"/>
    <col min="1049" max="1049" width="3.33203125" style="105" customWidth="1"/>
    <col min="1050" max="1050" width="1.109375" style="105" customWidth="1"/>
    <col min="1051" max="1051" width="2.21875" style="105" customWidth="1"/>
    <col min="1052" max="1053" width="3.33203125" style="105" customWidth="1"/>
    <col min="1054" max="1054" width="2.21875" style="105" customWidth="1"/>
    <col min="1055" max="1055" width="1.109375" style="105" customWidth="1"/>
    <col min="1056" max="1056" width="3.33203125" style="105" customWidth="1"/>
    <col min="1057" max="1057" width="1.109375" style="105" customWidth="1"/>
    <col min="1058" max="1058" width="2.21875" style="105" customWidth="1"/>
    <col min="1059" max="1060" width="3.33203125" style="105" customWidth="1"/>
    <col min="1061" max="1061" width="2.21875" style="105" customWidth="1"/>
    <col min="1062" max="1062" width="1.109375" style="105" customWidth="1"/>
    <col min="1063" max="1063" width="3.33203125" style="105" customWidth="1"/>
    <col min="1064" max="1064" width="1.109375" style="105" customWidth="1"/>
    <col min="1065" max="1065" width="2.21875" style="105" customWidth="1"/>
    <col min="1066" max="1067" width="3.33203125" style="105" customWidth="1"/>
    <col min="1068" max="1068" width="2.21875" style="105" customWidth="1"/>
    <col min="1069" max="1069" width="1.109375" style="105" customWidth="1"/>
    <col min="1070" max="1070" width="3.33203125" style="105" customWidth="1"/>
    <col min="1071" max="1071" width="1.109375" style="105" customWidth="1"/>
    <col min="1072" max="1072" width="2.21875" style="105" customWidth="1"/>
    <col min="1073" max="1074" width="3.33203125" style="105" customWidth="1"/>
    <col min="1075" max="1075" width="2.21875" style="105" customWidth="1"/>
    <col min="1076" max="1076" width="1.109375" style="105" customWidth="1"/>
    <col min="1077" max="1077" width="3.33203125" style="105" customWidth="1"/>
    <col min="1078" max="1078" width="1.109375" style="105" customWidth="1"/>
    <col min="1079" max="1079" width="0.21875" style="105" customWidth="1"/>
    <col min="1080" max="1080" width="2" style="105" customWidth="1"/>
    <col min="1081" max="1082" width="3.33203125" style="105" customWidth="1"/>
    <col min="1083" max="1083" width="2.21875" style="105" customWidth="1"/>
    <col min="1084" max="1084" width="1.109375" style="105" customWidth="1"/>
    <col min="1085" max="1085" width="4.44140625" style="105" customWidth="1"/>
    <col min="1086" max="1127" width="11.109375" style="105" customWidth="1"/>
    <col min="1128" max="1280" width="8.88671875" style="105"/>
    <col min="1281" max="1281" width="3.33203125" style="105" customWidth="1"/>
    <col min="1282" max="1282" width="2.21875" style="105" customWidth="1"/>
    <col min="1283" max="1283" width="1.109375" style="105" customWidth="1"/>
    <col min="1284" max="1284" width="3.33203125" style="105" customWidth="1"/>
    <col min="1285" max="1285" width="1.109375" style="105" customWidth="1"/>
    <col min="1286" max="1286" width="2.21875" style="105" customWidth="1"/>
    <col min="1287" max="1288" width="3.33203125" style="105" customWidth="1"/>
    <col min="1289" max="1289" width="2.21875" style="105" customWidth="1"/>
    <col min="1290" max="1290" width="1.109375" style="105" customWidth="1"/>
    <col min="1291" max="1291" width="3.33203125" style="105" customWidth="1"/>
    <col min="1292" max="1292" width="1.109375" style="105" customWidth="1"/>
    <col min="1293" max="1293" width="2.21875" style="105" customWidth="1"/>
    <col min="1294" max="1295" width="3.33203125" style="105" customWidth="1"/>
    <col min="1296" max="1296" width="2.21875" style="105" customWidth="1"/>
    <col min="1297" max="1297" width="1.109375" style="105" customWidth="1"/>
    <col min="1298" max="1298" width="3.33203125" style="105" customWidth="1"/>
    <col min="1299" max="1299" width="1.109375" style="105" customWidth="1"/>
    <col min="1300" max="1300" width="2.21875" style="105" customWidth="1"/>
    <col min="1301" max="1302" width="3.33203125" style="105" customWidth="1"/>
    <col min="1303" max="1303" width="2.21875" style="105" customWidth="1"/>
    <col min="1304" max="1304" width="1.109375" style="105" customWidth="1"/>
    <col min="1305" max="1305" width="3.33203125" style="105" customWidth="1"/>
    <col min="1306" max="1306" width="1.109375" style="105" customWidth="1"/>
    <col min="1307" max="1307" width="2.21875" style="105" customWidth="1"/>
    <col min="1308" max="1309" width="3.33203125" style="105" customWidth="1"/>
    <col min="1310" max="1310" width="2.21875" style="105" customWidth="1"/>
    <col min="1311" max="1311" width="1.109375" style="105" customWidth="1"/>
    <col min="1312" max="1312" width="3.33203125" style="105" customWidth="1"/>
    <col min="1313" max="1313" width="1.109375" style="105" customWidth="1"/>
    <col min="1314" max="1314" width="2.21875" style="105" customWidth="1"/>
    <col min="1315" max="1316" width="3.33203125" style="105" customWidth="1"/>
    <col min="1317" max="1317" width="2.21875" style="105" customWidth="1"/>
    <col min="1318" max="1318" width="1.109375" style="105" customWidth="1"/>
    <col min="1319" max="1319" width="3.33203125" style="105" customWidth="1"/>
    <col min="1320" max="1320" width="1.109375" style="105" customWidth="1"/>
    <col min="1321" max="1321" width="2.21875" style="105" customWidth="1"/>
    <col min="1322" max="1323" width="3.33203125" style="105" customWidth="1"/>
    <col min="1324" max="1324" width="2.21875" style="105" customWidth="1"/>
    <col min="1325" max="1325" width="1.109375" style="105" customWidth="1"/>
    <col min="1326" max="1326" width="3.33203125" style="105" customWidth="1"/>
    <col min="1327" max="1327" width="1.109375" style="105" customWidth="1"/>
    <col min="1328" max="1328" width="2.21875" style="105" customWidth="1"/>
    <col min="1329" max="1330" width="3.33203125" style="105" customWidth="1"/>
    <col min="1331" max="1331" width="2.21875" style="105" customWidth="1"/>
    <col min="1332" max="1332" width="1.109375" style="105" customWidth="1"/>
    <col min="1333" max="1333" width="3.33203125" style="105" customWidth="1"/>
    <col min="1334" max="1334" width="1.109375" style="105" customWidth="1"/>
    <col min="1335" max="1335" width="0.21875" style="105" customWidth="1"/>
    <col min="1336" max="1336" width="2" style="105" customWidth="1"/>
    <col min="1337" max="1338" width="3.33203125" style="105" customWidth="1"/>
    <col min="1339" max="1339" width="2.21875" style="105" customWidth="1"/>
    <col min="1340" max="1340" width="1.109375" style="105" customWidth="1"/>
    <col min="1341" max="1341" width="4.44140625" style="105" customWidth="1"/>
    <col min="1342" max="1383" width="11.109375" style="105" customWidth="1"/>
    <col min="1384" max="1536" width="8.88671875" style="105"/>
    <col min="1537" max="1537" width="3.33203125" style="105" customWidth="1"/>
    <col min="1538" max="1538" width="2.21875" style="105" customWidth="1"/>
    <col min="1539" max="1539" width="1.109375" style="105" customWidth="1"/>
    <col min="1540" max="1540" width="3.33203125" style="105" customWidth="1"/>
    <col min="1541" max="1541" width="1.109375" style="105" customWidth="1"/>
    <col min="1542" max="1542" width="2.21875" style="105" customWidth="1"/>
    <col min="1543" max="1544" width="3.33203125" style="105" customWidth="1"/>
    <col min="1545" max="1545" width="2.21875" style="105" customWidth="1"/>
    <col min="1546" max="1546" width="1.109375" style="105" customWidth="1"/>
    <col min="1547" max="1547" width="3.33203125" style="105" customWidth="1"/>
    <col min="1548" max="1548" width="1.109375" style="105" customWidth="1"/>
    <col min="1549" max="1549" width="2.21875" style="105" customWidth="1"/>
    <col min="1550" max="1551" width="3.33203125" style="105" customWidth="1"/>
    <col min="1552" max="1552" width="2.21875" style="105" customWidth="1"/>
    <col min="1553" max="1553" width="1.109375" style="105" customWidth="1"/>
    <col min="1554" max="1554" width="3.33203125" style="105" customWidth="1"/>
    <col min="1555" max="1555" width="1.109375" style="105" customWidth="1"/>
    <col min="1556" max="1556" width="2.21875" style="105" customWidth="1"/>
    <col min="1557" max="1558" width="3.33203125" style="105" customWidth="1"/>
    <col min="1559" max="1559" width="2.21875" style="105" customWidth="1"/>
    <col min="1560" max="1560" width="1.109375" style="105" customWidth="1"/>
    <col min="1561" max="1561" width="3.33203125" style="105" customWidth="1"/>
    <col min="1562" max="1562" width="1.109375" style="105" customWidth="1"/>
    <col min="1563" max="1563" width="2.21875" style="105" customWidth="1"/>
    <col min="1564" max="1565" width="3.33203125" style="105" customWidth="1"/>
    <col min="1566" max="1566" width="2.21875" style="105" customWidth="1"/>
    <col min="1567" max="1567" width="1.109375" style="105" customWidth="1"/>
    <col min="1568" max="1568" width="3.33203125" style="105" customWidth="1"/>
    <col min="1569" max="1569" width="1.109375" style="105" customWidth="1"/>
    <col min="1570" max="1570" width="2.21875" style="105" customWidth="1"/>
    <col min="1571" max="1572" width="3.33203125" style="105" customWidth="1"/>
    <col min="1573" max="1573" width="2.21875" style="105" customWidth="1"/>
    <col min="1574" max="1574" width="1.109375" style="105" customWidth="1"/>
    <col min="1575" max="1575" width="3.33203125" style="105" customWidth="1"/>
    <col min="1576" max="1576" width="1.109375" style="105" customWidth="1"/>
    <col min="1577" max="1577" width="2.21875" style="105" customWidth="1"/>
    <col min="1578" max="1579" width="3.33203125" style="105" customWidth="1"/>
    <col min="1580" max="1580" width="2.21875" style="105" customWidth="1"/>
    <col min="1581" max="1581" width="1.109375" style="105" customWidth="1"/>
    <col min="1582" max="1582" width="3.33203125" style="105" customWidth="1"/>
    <col min="1583" max="1583" width="1.109375" style="105" customWidth="1"/>
    <col min="1584" max="1584" width="2.21875" style="105" customWidth="1"/>
    <col min="1585" max="1586" width="3.33203125" style="105" customWidth="1"/>
    <col min="1587" max="1587" width="2.21875" style="105" customWidth="1"/>
    <col min="1588" max="1588" width="1.109375" style="105" customWidth="1"/>
    <col min="1589" max="1589" width="3.33203125" style="105" customWidth="1"/>
    <col min="1590" max="1590" width="1.109375" style="105" customWidth="1"/>
    <col min="1591" max="1591" width="0.21875" style="105" customWidth="1"/>
    <col min="1592" max="1592" width="2" style="105" customWidth="1"/>
    <col min="1593" max="1594" width="3.33203125" style="105" customWidth="1"/>
    <col min="1595" max="1595" width="2.21875" style="105" customWidth="1"/>
    <col min="1596" max="1596" width="1.109375" style="105" customWidth="1"/>
    <col min="1597" max="1597" width="4.44140625" style="105" customWidth="1"/>
    <col min="1598" max="1639" width="11.109375" style="105" customWidth="1"/>
    <col min="1640" max="1792" width="8.88671875" style="105"/>
    <col min="1793" max="1793" width="3.33203125" style="105" customWidth="1"/>
    <col min="1794" max="1794" width="2.21875" style="105" customWidth="1"/>
    <col min="1795" max="1795" width="1.109375" style="105" customWidth="1"/>
    <col min="1796" max="1796" width="3.33203125" style="105" customWidth="1"/>
    <col min="1797" max="1797" width="1.109375" style="105" customWidth="1"/>
    <col min="1798" max="1798" width="2.21875" style="105" customWidth="1"/>
    <col min="1799" max="1800" width="3.33203125" style="105" customWidth="1"/>
    <col min="1801" max="1801" width="2.21875" style="105" customWidth="1"/>
    <col min="1802" max="1802" width="1.109375" style="105" customWidth="1"/>
    <col min="1803" max="1803" width="3.33203125" style="105" customWidth="1"/>
    <col min="1804" max="1804" width="1.109375" style="105" customWidth="1"/>
    <col min="1805" max="1805" width="2.21875" style="105" customWidth="1"/>
    <col min="1806" max="1807" width="3.33203125" style="105" customWidth="1"/>
    <col min="1808" max="1808" width="2.21875" style="105" customWidth="1"/>
    <col min="1809" max="1809" width="1.109375" style="105" customWidth="1"/>
    <col min="1810" max="1810" width="3.33203125" style="105" customWidth="1"/>
    <col min="1811" max="1811" width="1.109375" style="105" customWidth="1"/>
    <col min="1812" max="1812" width="2.21875" style="105" customWidth="1"/>
    <col min="1813" max="1814" width="3.33203125" style="105" customWidth="1"/>
    <col min="1815" max="1815" width="2.21875" style="105" customWidth="1"/>
    <col min="1816" max="1816" width="1.109375" style="105" customWidth="1"/>
    <col min="1817" max="1817" width="3.33203125" style="105" customWidth="1"/>
    <col min="1818" max="1818" width="1.109375" style="105" customWidth="1"/>
    <col min="1819" max="1819" width="2.21875" style="105" customWidth="1"/>
    <col min="1820" max="1821" width="3.33203125" style="105" customWidth="1"/>
    <col min="1822" max="1822" width="2.21875" style="105" customWidth="1"/>
    <col min="1823" max="1823" width="1.109375" style="105" customWidth="1"/>
    <col min="1824" max="1824" width="3.33203125" style="105" customWidth="1"/>
    <col min="1825" max="1825" width="1.109375" style="105" customWidth="1"/>
    <col min="1826" max="1826" width="2.21875" style="105" customWidth="1"/>
    <col min="1827" max="1828" width="3.33203125" style="105" customWidth="1"/>
    <col min="1829" max="1829" width="2.21875" style="105" customWidth="1"/>
    <col min="1830" max="1830" width="1.109375" style="105" customWidth="1"/>
    <col min="1831" max="1831" width="3.33203125" style="105" customWidth="1"/>
    <col min="1832" max="1832" width="1.109375" style="105" customWidth="1"/>
    <col min="1833" max="1833" width="2.21875" style="105" customWidth="1"/>
    <col min="1834" max="1835" width="3.33203125" style="105" customWidth="1"/>
    <col min="1836" max="1836" width="2.21875" style="105" customWidth="1"/>
    <col min="1837" max="1837" width="1.109375" style="105" customWidth="1"/>
    <col min="1838" max="1838" width="3.33203125" style="105" customWidth="1"/>
    <col min="1839" max="1839" width="1.109375" style="105" customWidth="1"/>
    <col min="1840" max="1840" width="2.21875" style="105" customWidth="1"/>
    <col min="1841" max="1842" width="3.33203125" style="105" customWidth="1"/>
    <col min="1843" max="1843" width="2.21875" style="105" customWidth="1"/>
    <col min="1844" max="1844" width="1.109375" style="105" customWidth="1"/>
    <col min="1845" max="1845" width="3.33203125" style="105" customWidth="1"/>
    <col min="1846" max="1846" width="1.109375" style="105" customWidth="1"/>
    <col min="1847" max="1847" width="0.21875" style="105" customWidth="1"/>
    <col min="1848" max="1848" width="2" style="105" customWidth="1"/>
    <col min="1849" max="1850" width="3.33203125" style="105" customWidth="1"/>
    <col min="1851" max="1851" width="2.21875" style="105" customWidth="1"/>
    <col min="1852" max="1852" width="1.109375" style="105" customWidth="1"/>
    <col min="1853" max="1853" width="4.44140625" style="105" customWidth="1"/>
    <col min="1854" max="1895" width="11.109375" style="105" customWidth="1"/>
    <col min="1896" max="2048" width="8.88671875" style="105"/>
    <col min="2049" max="2049" width="3.33203125" style="105" customWidth="1"/>
    <col min="2050" max="2050" width="2.21875" style="105" customWidth="1"/>
    <col min="2051" max="2051" width="1.109375" style="105" customWidth="1"/>
    <col min="2052" max="2052" width="3.33203125" style="105" customWidth="1"/>
    <col min="2053" max="2053" width="1.109375" style="105" customWidth="1"/>
    <col min="2054" max="2054" width="2.21875" style="105" customWidth="1"/>
    <col min="2055" max="2056" width="3.33203125" style="105" customWidth="1"/>
    <col min="2057" max="2057" width="2.21875" style="105" customWidth="1"/>
    <col min="2058" max="2058" width="1.109375" style="105" customWidth="1"/>
    <col min="2059" max="2059" width="3.33203125" style="105" customWidth="1"/>
    <col min="2060" max="2060" width="1.109375" style="105" customWidth="1"/>
    <col min="2061" max="2061" width="2.21875" style="105" customWidth="1"/>
    <col min="2062" max="2063" width="3.33203125" style="105" customWidth="1"/>
    <col min="2064" max="2064" width="2.21875" style="105" customWidth="1"/>
    <col min="2065" max="2065" width="1.109375" style="105" customWidth="1"/>
    <col min="2066" max="2066" width="3.33203125" style="105" customWidth="1"/>
    <col min="2067" max="2067" width="1.109375" style="105" customWidth="1"/>
    <col min="2068" max="2068" width="2.21875" style="105" customWidth="1"/>
    <col min="2069" max="2070" width="3.33203125" style="105" customWidth="1"/>
    <col min="2071" max="2071" width="2.21875" style="105" customWidth="1"/>
    <col min="2072" max="2072" width="1.109375" style="105" customWidth="1"/>
    <col min="2073" max="2073" width="3.33203125" style="105" customWidth="1"/>
    <col min="2074" max="2074" width="1.109375" style="105" customWidth="1"/>
    <col min="2075" max="2075" width="2.21875" style="105" customWidth="1"/>
    <col min="2076" max="2077" width="3.33203125" style="105" customWidth="1"/>
    <col min="2078" max="2078" width="2.21875" style="105" customWidth="1"/>
    <col min="2079" max="2079" width="1.109375" style="105" customWidth="1"/>
    <col min="2080" max="2080" width="3.33203125" style="105" customWidth="1"/>
    <col min="2081" max="2081" width="1.109375" style="105" customWidth="1"/>
    <col min="2082" max="2082" width="2.21875" style="105" customWidth="1"/>
    <col min="2083" max="2084" width="3.33203125" style="105" customWidth="1"/>
    <col min="2085" max="2085" width="2.21875" style="105" customWidth="1"/>
    <col min="2086" max="2086" width="1.109375" style="105" customWidth="1"/>
    <col min="2087" max="2087" width="3.33203125" style="105" customWidth="1"/>
    <col min="2088" max="2088" width="1.109375" style="105" customWidth="1"/>
    <col min="2089" max="2089" width="2.21875" style="105" customWidth="1"/>
    <col min="2090" max="2091" width="3.33203125" style="105" customWidth="1"/>
    <col min="2092" max="2092" width="2.21875" style="105" customWidth="1"/>
    <col min="2093" max="2093" width="1.109375" style="105" customWidth="1"/>
    <col min="2094" max="2094" width="3.33203125" style="105" customWidth="1"/>
    <col min="2095" max="2095" width="1.109375" style="105" customWidth="1"/>
    <col min="2096" max="2096" width="2.21875" style="105" customWidth="1"/>
    <col min="2097" max="2098" width="3.33203125" style="105" customWidth="1"/>
    <col min="2099" max="2099" width="2.21875" style="105" customWidth="1"/>
    <col min="2100" max="2100" width="1.109375" style="105" customWidth="1"/>
    <col min="2101" max="2101" width="3.33203125" style="105" customWidth="1"/>
    <col min="2102" max="2102" width="1.109375" style="105" customWidth="1"/>
    <col min="2103" max="2103" width="0.21875" style="105" customWidth="1"/>
    <col min="2104" max="2104" width="2" style="105" customWidth="1"/>
    <col min="2105" max="2106" width="3.33203125" style="105" customWidth="1"/>
    <col min="2107" max="2107" width="2.21875" style="105" customWidth="1"/>
    <col min="2108" max="2108" width="1.109375" style="105" customWidth="1"/>
    <col min="2109" max="2109" width="4.44140625" style="105" customWidth="1"/>
    <col min="2110" max="2151" width="11.109375" style="105" customWidth="1"/>
    <col min="2152" max="2304" width="8.88671875" style="105"/>
    <col min="2305" max="2305" width="3.33203125" style="105" customWidth="1"/>
    <col min="2306" max="2306" width="2.21875" style="105" customWidth="1"/>
    <col min="2307" max="2307" width="1.109375" style="105" customWidth="1"/>
    <col min="2308" max="2308" width="3.33203125" style="105" customWidth="1"/>
    <col min="2309" max="2309" width="1.109375" style="105" customWidth="1"/>
    <col min="2310" max="2310" width="2.21875" style="105" customWidth="1"/>
    <col min="2311" max="2312" width="3.33203125" style="105" customWidth="1"/>
    <col min="2313" max="2313" width="2.21875" style="105" customWidth="1"/>
    <col min="2314" max="2314" width="1.109375" style="105" customWidth="1"/>
    <col min="2315" max="2315" width="3.33203125" style="105" customWidth="1"/>
    <col min="2316" max="2316" width="1.109375" style="105" customWidth="1"/>
    <col min="2317" max="2317" width="2.21875" style="105" customWidth="1"/>
    <col min="2318" max="2319" width="3.33203125" style="105" customWidth="1"/>
    <col min="2320" max="2320" width="2.21875" style="105" customWidth="1"/>
    <col min="2321" max="2321" width="1.109375" style="105" customWidth="1"/>
    <col min="2322" max="2322" width="3.33203125" style="105" customWidth="1"/>
    <col min="2323" max="2323" width="1.109375" style="105" customWidth="1"/>
    <col min="2324" max="2324" width="2.21875" style="105" customWidth="1"/>
    <col min="2325" max="2326" width="3.33203125" style="105" customWidth="1"/>
    <col min="2327" max="2327" width="2.21875" style="105" customWidth="1"/>
    <col min="2328" max="2328" width="1.109375" style="105" customWidth="1"/>
    <col min="2329" max="2329" width="3.33203125" style="105" customWidth="1"/>
    <col min="2330" max="2330" width="1.109375" style="105" customWidth="1"/>
    <col min="2331" max="2331" width="2.21875" style="105" customWidth="1"/>
    <col min="2332" max="2333" width="3.33203125" style="105" customWidth="1"/>
    <col min="2334" max="2334" width="2.21875" style="105" customWidth="1"/>
    <col min="2335" max="2335" width="1.109375" style="105" customWidth="1"/>
    <col min="2336" max="2336" width="3.33203125" style="105" customWidth="1"/>
    <col min="2337" max="2337" width="1.109375" style="105" customWidth="1"/>
    <col min="2338" max="2338" width="2.21875" style="105" customWidth="1"/>
    <col min="2339" max="2340" width="3.33203125" style="105" customWidth="1"/>
    <col min="2341" max="2341" width="2.21875" style="105" customWidth="1"/>
    <col min="2342" max="2342" width="1.109375" style="105" customWidth="1"/>
    <col min="2343" max="2343" width="3.33203125" style="105" customWidth="1"/>
    <col min="2344" max="2344" width="1.109375" style="105" customWidth="1"/>
    <col min="2345" max="2345" width="2.21875" style="105" customWidth="1"/>
    <col min="2346" max="2347" width="3.33203125" style="105" customWidth="1"/>
    <col min="2348" max="2348" width="2.21875" style="105" customWidth="1"/>
    <col min="2349" max="2349" width="1.109375" style="105" customWidth="1"/>
    <col min="2350" max="2350" width="3.33203125" style="105" customWidth="1"/>
    <col min="2351" max="2351" width="1.109375" style="105" customWidth="1"/>
    <col min="2352" max="2352" width="2.21875" style="105" customWidth="1"/>
    <col min="2353" max="2354" width="3.33203125" style="105" customWidth="1"/>
    <col min="2355" max="2355" width="2.21875" style="105" customWidth="1"/>
    <col min="2356" max="2356" width="1.109375" style="105" customWidth="1"/>
    <col min="2357" max="2357" width="3.33203125" style="105" customWidth="1"/>
    <col min="2358" max="2358" width="1.109375" style="105" customWidth="1"/>
    <col min="2359" max="2359" width="0.21875" style="105" customWidth="1"/>
    <col min="2360" max="2360" width="2" style="105" customWidth="1"/>
    <col min="2361" max="2362" width="3.33203125" style="105" customWidth="1"/>
    <col min="2363" max="2363" width="2.21875" style="105" customWidth="1"/>
    <col min="2364" max="2364" width="1.109375" style="105" customWidth="1"/>
    <col min="2365" max="2365" width="4.44140625" style="105" customWidth="1"/>
    <col min="2366" max="2407" width="11.109375" style="105" customWidth="1"/>
    <col min="2408" max="2560" width="8.88671875" style="105"/>
    <col min="2561" max="2561" width="3.33203125" style="105" customWidth="1"/>
    <col min="2562" max="2562" width="2.21875" style="105" customWidth="1"/>
    <col min="2563" max="2563" width="1.109375" style="105" customWidth="1"/>
    <col min="2564" max="2564" width="3.33203125" style="105" customWidth="1"/>
    <col min="2565" max="2565" width="1.109375" style="105" customWidth="1"/>
    <col min="2566" max="2566" width="2.21875" style="105" customWidth="1"/>
    <col min="2567" max="2568" width="3.33203125" style="105" customWidth="1"/>
    <col min="2569" max="2569" width="2.21875" style="105" customWidth="1"/>
    <col min="2570" max="2570" width="1.109375" style="105" customWidth="1"/>
    <col min="2571" max="2571" width="3.33203125" style="105" customWidth="1"/>
    <col min="2572" max="2572" width="1.109375" style="105" customWidth="1"/>
    <col min="2573" max="2573" width="2.21875" style="105" customWidth="1"/>
    <col min="2574" max="2575" width="3.33203125" style="105" customWidth="1"/>
    <col min="2576" max="2576" width="2.21875" style="105" customWidth="1"/>
    <col min="2577" max="2577" width="1.109375" style="105" customWidth="1"/>
    <col min="2578" max="2578" width="3.33203125" style="105" customWidth="1"/>
    <col min="2579" max="2579" width="1.109375" style="105" customWidth="1"/>
    <col min="2580" max="2580" width="2.21875" style="105" customWidth="1"/>
    <col min="2581" max="2582" width="3.33203125" style="105" customWidth="1"/>
    <col min="2583" max="2583" width="2.21875" style="105" customWidth="1"/>
    <col min="2584" max="2584" width="1.109375" style="105" customWidth="1"/>
    <col min="2585" max="2585" width="3.33203125" style="105" customWidth="1"/>
    <col min="2586" max="2586" width="1.109375" style="105" customWidth="1"/>
    <col min="2587" max="2587" width="2.21875" style="105" customWidth="1"/>
    <col min="2588" max="2589" width="3.33203125" style="105" customWidth="1"/>
    <col min="2590" max="2590" width="2.21875" style="105" customWidth="1"/>
    <col min="2591" max="2591" width="1.109375" style="105" customWidth="1"/>
    <col min="2592" max="2592" width="3.33203125" style="105" customWidth="1"/>
    <col min="2593" max="2593" width="1.109375" style="105" customWidth="1"/>
    <col min="2594" max="2594" width="2.21875" style="105" customWidth="1"/>
    <col min="2595" max="2596" width="3.33203125" style="105" customWidth="1"/>
    <col min="2597" max="2597" width="2.21875" style="105" customWidth="1"/>
    <col min="2598" max="2598" width="1.109375" style="105" customWidth="1"/>
    <col min="2599" max="2599" width="3.33203125" style="105" customWidth="1"/>
    <col min="2600" max="2600" width="1.109375" style="105" customWidth="1"/>
    <col min="2601" max="2601" width="2.21875" style="105" customWidth="1"/>
    <col min="2602" max="2603" width="3.33203125" style="105" customWidth="1"/>
    <col min="2604" max="2604" width="2.21875" style="105" customWidth="1"/>
    <col min="2605" max="2605" width="1.109375" style="105" customWidth="1"/>
    <col min="2606" max="2606" width="3.33203125" style="105" customWidth="1"/>
    <col min="2607" max="2607" width="1.109375" style="105" customWidth="1"/>
    <col min="2608" max="2608" width="2.21875" style="105" customWidth="1"/>
    <col min="2609" max="2610" width="3.33203125" style="105" customWidth="1"/>
    <col min="2611" max="2611" width="2.21875" style="105" customWidth="1"/>
    <col min="2612" max="2612" width="1.109375" style="105" customWidth="1"/>
    <col min="2613" max="2613" width="3.33203125" style="105" customWidth="1"/>
    <col min="2614" max="2614" width="1.109375" style="105" customWidth="1"/>
    <col min="2615" max="2615" width="0.21875" style="105" customWidth="1"/>
    <col min="2616" max="2616" width="2" style="105" customWidth="1"/>
    <col min="2617" max="2618" width="3.33203125" style="105" customWidth="1"/>
    <col min="2619" max="2619" width="2.21875" style="105" customWidth="1"/>
    <col min="2620" max="2620" width="1.109375" style="105" customWidth="1"/>
    <col min="2621" max="2621" width="4.44140625" style="105" customWidth="1"/>
    <col min="2622" max="2663" width="11.109375" style="105" customWidth="1"/>
    <col min="2664" max="2816" width="8.88671875" style="105"/>
    <col min="2817" max="2817" width="3.33203125" style="105" customWidth="1"/>
    <col min="2818" max="2818" width="2.21875" style="105" customWidth="1"/>
    <col min="2819" max="2819" width="1.109375" style="105" customWidth="1"/>
    <col min="2820" max="2820" width="3.33203125" style="105" customWidth="1"/>
    <col min="2821" max="2821" width="1.109375" style="105" customWidth="1"/>
    <col min="2822" max="2822" width="2.21875" style="105" customWidth="1"/>
    <col min="2823" max="2824" width="3.33203125" style="105" customWidth="1"/>
    <col min="2825" max="2825" width="2.21875" style="105" customWidth="1"/>
    <col min="2826" max="2826" width="1.109375" style="105" customWidth="1"/>
    <col min="2827" max="2827" width="3.33203125" style="105" customWidth="1"/>
    <col min="2828" max="2828" width="1.109375" style="105" customWidth="1"/>
    <col min="2829" max="2829" width="2.21875" style="105" customWidth="1"/>
    <col min="2830" max="2831" width="3.33203125" style="105" customWidth="1"/>
    <col min="2832" max="2832" width="2.21875" style="105" customWidth="1"/>
    <col min="2833" max="2833" width="1.109375" style="105" customWidth="1"/>
    <col min="2834" max="2834" width="3.33203125" style="105" customWidth="1"/>
    <col min="2835" max="2835" width="1.109375" style="105" customWidth="1"/>
    <col min="2836" max="2836" width="2.21875" style="105" customWidth="1"/>
    <col min="2837" max="2838" width="3.33203125" style="105" customWidth="1"/>
    <col min="2839" max="2839" width="2.21875" style="105" customWidth="1"/>
    <col min="2840" max="2840" width="1.109375" style="105" customWidth="1"/>
    <col min="2841" max="2841" width="3.33203125" style="105" customWidth="1"/>
    <col min="2842" max="2842" width="1.109375" style="105" customWidth="1"/>
    <col min="2843" max="2843" width="2.21875" style="105" customWidth="1"/>
    <col min="2844" max="2845" width="3.33203125" style="105" customWidth="1"/>
    <col min="2846" max="2846" width="2.21875" style="105" customWidth="1"/>
    <col min="2847" max="2847" width="1.109375" style="105" customWidth="1"/>
    <col min="2848" max="2848" width="3.33203125" style="105" customWidth="1"/>
    <col min="2849" max="2849" width="1.109375" style="105" customWidth="1"/>
    <col min="2850" max="2850" width="2.21875" style="105" customWidth="1"/>
    <col min="2851" max="2852" width="3.33203125" style="105" customWidth="1"/>
    <col min="2853" max="2853" width="2.21875" style="105" customWidth="1"/>
    <col min="2854" max="2854" width="1.109375" style="105" customWidth="1"/>
    <col min="2855" max="2855" width="3.33203125" style="105" customWidth="1"/>
    <col min="2856" max="2856" width="1.109375" style="105" customWidth="1"/>
    <col min="2857" max="2857" width="2.21875" style="105" customWidth="1"/>
    <col min="2858" max="2859" width="3.33203125" style="105" customWidth="1"/>
    <col min="2860" max="2860" width="2.21875" style="105" customWidth="1"/>
    <col min="2861" max="2861" width="1.109375" style="105" customWidth="1"/>
    <col min="2862" max="2862" width="3.33203125" style="105" customWidth="1"/>
    <col min="2863" max="2863" width="1.109375" style="105" customWidth="1"/>
    <col min="2864" max="2864" width="2.21875" style="105" customWidth="1"/>
    <col min="2865" max="2866" width="3.33203125" style="105" customWidth="1"/>
    <col min="2867" max="2867" width="2.21875" style="105" customWidth="1"/>
    <col min="2868" max="2868" width="1.109375" style="105" customWidth="1"/>
    <col min="2869" max="2869" width="3.33203125" style="105" customWidth="1"/>
    <col min="2870" max="2870" width="1.109375" style="105" customWidth="1"/>
    <col min="2871" max="2871" width="0.21875" style="105" customWidth="1"/>
    <col min="2872" max="2872" width="2" style="105" customWidth="1"/>
    <col min="2873" max="2874" width="3.33203125" style="105" customWidth="1"/>
    <col min="2875" max="2875" width="2.21875" style="105" customWidth="1"/>
    <col min="2876" max="2876" width="1.109375" style="105" customWidth="1"/>
    <col min="2877" max="2877" width="4.44140625" style="105" customWidth="1"/>
    <col min="2878" max="2919" width="11.109375" style="105" customWidth="1"/>
    <col min="2920" max="3072" width="8.88671875" style="105"/>
    <col min="3073" max="3073" width="3.33203125" style="105" customWidth="1"/>
    <col min="3074" max="3074" width="2.21875" style="105" customWidth="1"/>
    <col min="3075" max="3075" width="1.109375" style="105" customWidth="1"/>
    <col min="3076" max="3076" width="3.33203125" style="105" customWidth="1"/>
    <col min="3077" max="3077" width="1.109375" style="105" customWidth="1"/>
    <col min="3078" max="3078" width="2.21875" style="105" customWidth="1"/>
    <col min="3079" max="3080" width="3.33203125" style="105" customWidth="1"/>
    <col min="3081" max="3081" width="2.21875" style="105" customWidth="1"/>
    <col min="3082" max="3082" width="1.109375" style="105" customWidth="1"/>
    <col min="3083" max="3083" width="3.33203125" style="105" customWidth="1"/>
    <col min="3084" max="3084" width="1.109375" style="105" customWidth="1"/>
    <col min="3085" max="3085" width="2.21875" style="105" customWidth="1"/>
    <col min="3086" max="3087" width="3.33203125" style="105" customWidth="1"/>
    <col min="3088" max="3088" width="2.21875" style="105" customWidth="1"/>
    <col min="3089" max="3089" width="1.109375" style="105" customWidth="1"/>
    <col min="3090" max="3090" width="3.33203125" style="105" customWidth="1"/>
    <col min="3091" max="3091" width="1.109375" style="105" customWidth="1"/>
    <col min="3092" max="3092" width="2.21875" style="105" customWidth="1"/>
    <col min="3093" max="3094" width="3.33203125" style="105" customWidth="1"/>
    <col min="3095" max="3095" width="2.21875" style="105" customWidth="1"/>
    <col min="3096" max="3096" width="1.109375" style="105" customWidth="1"/>
    <col min="3097" max="3097" width="3.33203125" style="105" customWidth="1"/>
    <col min="3098" max="3098" width="1.109375" style="105" customWidth="1"/>
    <col min="3099" max="3099" width="2.21875" style="105" customWidth="1"/>
    <col min="3100" max="3101" width="3.33203125" style="105" customWidth="1"/>
    <col min="3102" max="3102" width="2.21875" style="105" customWidth="1"/>
    <col min="3103" max="3103" width="1.109375" style="105" customWidth="1"/>
    <col min="3104" max="3104" width="3.33203125" style="105" customWidth="1"/>
    <col min="3105" max="3105" width="1.109375" style="105" customWidth="1"/>
    <col min="3106" max="3106" width="2.21875" style="105" customWidth="1"/>
    <col min="3107" max="3108" width="3.33203125" style="105" customWidth="1"/>
    <col min="3109" max="3109" width="2.21875" style="105" customWidth="1"/>
    <col min="3110" max="3110" width="1.109375" style="105" customWidth="1"/>
    <col min="3111" max="3111" width="3.33203125" style="105" customWidth="1"/>
    <col min="3112" max="3112" width="1.109375" style="105" customWidth="1"/>
    <col min="3113" max="3113" width="2.21875" style="105" customWidth="1"/>
    <col min="3114" max="3115" width="3.33203125" style="105" customWidth="1"/>
    <col min="3116" max="3116" width="2.21875" style="105" customWidth="1"/>
    <col min="3117" max="3117" width="1.109375" style="105" customWidth="1"/>
    <col min="3118" max="3118" width="3.33203125" style="105" customWidth="1"/>
    <col min="3119" max="3119" width="1.109375" style="105" customWidth="1"/>
    <col min="3120" max="3120" width="2.21875" style="105" customWidth="1"/>
    <col min="3121" max="3122" width="3.33203125" style="105" customWidth="1"/>
    <col min="3123" max="3123" width="2.21875" style="105" customWidth="1"/>
    <col min="3124" max="3124" width="1.109375" style="105" customWidth="1"/>
    <col min="3125" max="3125" width="3.33203125" style="105" customWidth="1"/>
    <col min="3126" max="3126" width="1.109375" style="105" customWidth="1"/>
    <col min="3127" max="3127" width="0.21875" style="105" customWidth="1"/>
    <col min="3128" max="3128" width="2" style="105" customWidth="1"/>
    <col min="3129" max="3130" width="3.33203125" style="105" customWidth="1"/>
    <col min="3131" max="3131" width="2.21875" style="105" customWidth="1"/>
    <col min="3132" max="3132" width="1.109375" style="105" customWidth="1"/>
    <col min="3133" max="3133" width="4.44140625" style="105" customWidth="1"/>
    <col min="3134" max="3175" width="11.109375" style="105" customWidth="1"/>
    <col min="3176" max="3328" width="8.88671875" style="105"/>
    <col min="3329" max="3329" width="3.33203125" style="105" customWidth="1"/>
    <col min="3330" max="3330" width="2.21875" style="105" customWidth="1"/>
    <col min="3331" max="3331" width="1.109375" style="105" customWidth="1"/>
    <col min="3332" max="3332" width="3.33203125" style="105" customWidth="1"/>
    <col min="3333" max="3333" width="1.109375" style="105" customWidth="1"/>
    <col min="3334" max="3334" width="2.21875" style="105" customWidth="1"/>
    <col min="3335" max="3336" width="3.33203125" style="105" customWidth="1"/>
    <col min="3337" max="3337" width="2.21875" style="105" customWidth="1"/>
    <col min="3338" max="3338" width="1.109375" style="105" customWidth="1"/>
    <col min="3339" max="3339" width="3.33203125" style="105" customWidth="1"/>
    <col min="3340" max="3340" width="1.109375" style="105" customWidth="1"/>
    <col min="3341" max="3341" width="2.21875" style="105" customWidth="1"/>
    <col min="3342" max="3343" width="3.33203125" style="105" customWidth="1"/>
    <col min="3344" max="3344" width="2.21875" style="105" customWidth="1"/>
    <col min="3345" max="3345" width="1.109375" style="105" customWidth="1"/>
    <col min="3346" max="3346" width="3.33203125" style="105" customWidth="1"/>
    <col min="3347" max="3347" width="1.109375" style="105" customWidth="1"/>
    <col min="3348" max="3348" width="2.21875" style="105" customWidth="1"/>
    <col min="3349" max="3350" width="3.33203125" style="105" customWidth="1"/>
    <col min="3351" max="3351" width="2.21875" style="105" customWidth="1"/>
    <col min="3352" max="3352" width="1.109375" style="105" customWidth="1"/>
    <col min="3353" max="3353" width="3.33203125" style="105" customWidth="1"/>
    <col min="3354" max="3354" width="1.109375" style="105" customWidth="1"/>
    <col min="3355" max="3355" width="2.21875" style="105" customWidth="1"/>
    <col min="3356" max="3357" width="3.33203125" style="105" customWidth="1"/>
    <col min="3358" max="3358" width="2.21875" style="105" customWidth="1"/>
    <col min="3359" max="3359" width="1.109375" style="105" customWidth="1"/>
    <col min="3360" max="3360" width="3.33203125" style="105" customWidth="1"/>
    <col min="3361" max="3361" width="1.109375" style="105" customWidth="1"/>
    <col min="3362" max="3362" width="2.21875" style="105" customWidth="1"/>
    <col min="3363" max="3364" width="3.33203125" style="105" customWidth="1"/>
    <col min="3365" max="3365" width="2.21875" style="105" customWidth="1"/>
    <col min="3366" max="3366" width="1.109375" style="105" customWidth="1"/>
    <col min="3367" max="3367" width="3.33203125" style="105" customWidth="1"/>
    <col min="3368" max="3368" width="1.109375" style="105" customWidth="1"/>
    <col min="3369" max="3369" width="2.21875" style="105" customWidth="1"/>
    <col min="3370" max="3371" width="3.33203125" style="105" customWidth="1"/>
    <col min="3372" max="3372" width="2.21875" style="105" customWidth="1"/>
    <col min="3373" max="3373" width="1.109375" style="105" customWidth="1"/>
    <col min="3374" max="3374" width="3.33203125" style="105" customWidth="1"/>
    <col min="3375" max="3375" width="1.109375" style="105" customWidth="1"/>
    <col min="3376" max="3376" width="2.21875" style="105" customWidth="1"/>
    <col min="3377" max="3378" width="3.33203125" style="105" customWidth="1"/>
    <col min="3379" max="3379" width="2.21875" style="105" customWidth="1"/>
    <col min="3380" max="3380" width="1.109375" style="105" customWidth="1"/>
    <col min="3381" max="3381" width="3.33203125" style="105" customWidth="1"/>
    <col min="3382" max="3382" width="1.109375" style="105" customWidth="1"/>
    <col min="3383" max="3383" width="0.21875" style="105" customWidth="1"/>
    <col min="3384" max="3384" width="2" style="105" customWidth="1"/>
    <col min="3385" max="3386" width="3.33203125" style="105" customWidth="1"/>
    <col min="3387" max="3387" width="2.21875" style="105" customWidth="1"/>
    <col min="3388" max="3388" width="1.109375" style="105" customWidth="1"/>
    <col min="3389" max="3389" width="4.44140625" style="105" customWidth="1"/>
    <col min="3390" max="3431" width="11.109375" style="105" customWidth="1"/>
    <col min="3432" max="3584" width="8.88671875" style="105"/>
    <col min="3585" max="3585" width="3.33203125" style="105" customWidth="1"/>
    <col min="3586" max="3586" width="2.21875" style="105" customWidth="1"/>
    <col min="3587" max="3587" width="1.109375" style="105" customWidth="1"/>
    <col min="3588" max="3588" width="3.33203125" style="105" customWidth="1"/>
    <col min="3589" max="3589" width="1.109375" style="105" customWidth="1"/>
    <col min="3590" max="3590" width="2.21875" style="105" customWidth="1"/>
    <col min="3591" max="3592" width="3.33203125" style="105" customWidth="1"/>
    <col min="3593" max="3593" width="2.21875" style="105" customWidth="1"/>
    <col min="3594" max="3594" width="1.109375" style="105" customWidth="1"/>
    <col min="3595" max="3595" width="3.33203125" style="105" customWidth="1"/>
    <col min="3596" max="3596" width="1.109375" style="105" customWidth="1"/>
    <col min="3597" max="3597" width="2.21875" style="105" customWidth="1"/>
    <col min="3598" max="3599" width="3.33203125" style="105" customWidth="1"/>
    <col min="3600" max="3600" width="2.21875" style="105" customWidth="1"/>
    <col min="3601" max="3601" width="1.109375" style="105" customWidth="1"/>
    <col min="3602" max="3602" width="3.33203125" style="105" customWidth="1"/>
    <col min="3603" max="3603" width="1.109375" style="105" customWidth="1"/>
    <col min="3604" max="3604" width="2.21875" style="105" customWidth="1"/>
    <col min="3605" max="3606" width="3.33203125" style="105" customWidth="1"/>
    <col min="3607" max="3607" width="2.21875" style="105" customWidth="1"/>
    <col min="3608" max="3608" width="1.109375" style="105" customWidth="1"/>
    <col min="3609" max="3609" width="3.33203125" style="105" customWidth="1"/>
    <col min="3610" max="3610" width="1.109375" style="105" customWidth="1"/>
    <col min="3611" max="3611" width="2.21875" style="105" customWidth="1"/>
    <col min="3612" max="3613" width="3.33203125" style="105" customWidth="1"/>
    <col min="3614" max="3614" width="2.21875" style="105" customWidth="1"/>
    <col min="3615" max="3615" width="1.109375" style="105" customWidth="1"/>
    <col min="3616" max="3616" width="3.33203125" style="105" customWidth="1"/>
    <col min="3617" max="3617" width="1.109375" style="105" customWidth="1"/>
    <col min="3618" max="3618" width="2.21875" style="105" customWidth="1"/>
    <col min="3619" max="3620" width="3.33203125" style="105" customWidth="1"/>
    <col min="3621" max="3621" width="2.21875" style="105" customWidth="1"/>
    <col min="3622" max="3622" width="1.109375" style="105" customWidth="1"/>
    <col min="3623" max="3623" width="3.33203125" style="105" customWidth="1"/>
    <col min="3624" max="3624" width="1.109375" style="105" customWidth="1"/>
    <col min="3625" max="3625" width="2.21875" style="105" customWidth="1"/>
    <col min="3626" max="3627" width="3.33203125" style="105" customWidth="1"/>
    <col min="3628" max="3628" width="2.21875" style="105" customWidth="1"/>
    <col min="3629" max="3629" width="1.109375" style="105" customWidth="1"/>
    <col min="3630" max="3630" width="3.33203125" style="105" customWidth="1"/>
    <col min="3631" max="3631" width="1.109375" style="105" customWidth="1"/>
    <col min="3632" max="3632" width="2.21875" style="105" customWidth="1"/>
    <col min="3633" max="3634" width="3.33203125" style="105" customWidth="1"/>
    <col min="3635" max="3635" width="2.21875" style="105" customWidth="1"/>
    <col min="3636" max="3636" width="1.109375" style="105" customWidth="1"/>
    <col min="3637" max="3637" width="3.33203125" style="105" customWidth="1"/>
    <col min="3638" max="3638" width="1.109375" style="105" customWidth="1"/>
    <col min="3639" max="3639" width="0.21875" style="105" customWidth="1"/>
    <col min="3640" max="3640" width="2" style="105" customWidth="1"/>
    <col min="3641" max="3642" width="3.33203125" style="105" customWidth="1"/>
    <col min="3643" max="3643" width="2.21875" style="105" customWidth="1"/>
    <col min="3644" max="3644" width="1.109375" style="105" customWidth="1"/>
    <col min="3645" max="3645" width="4.44140625" style="105" customWidth="1"/>
    <col min="3646" max="3687" width="11.109375" style="105" customWidth="1"/>
    <col min="3688" max="3840" width="8.88671875" style="105"/>
    <col min="3841" max="3841" width="3.33203125" style="105" customWidth="1"/>
    <col min="3842" max="3842" width="2.21875" style="105" customWidth="1"/>
    <col min="3843" max="3843" width="1.109375" style="105" customWidth="1"/>
    <col min="3844" max="3844" width="3.33203125" style="105" customWidth="1"/>
    <col min="3845" max="3845" width="1.109375" style="105" customWidth="1"/>
    <col min="3846" max="3846" width="2.21875" style="105" customWidth="1"/>
    <col min="3847" max="3848" width="3.33203125" style="105" customWidth="1"/>
    <col min="3849" max="3849" width="2.21875" style="105" customWidth="1"/>
    <col min="3850" max="3850" width="1.109375" style="105" customWidth="1"/>
    <col min="3851" max="3851" width="3.33203125" style="105" customWidth="1"/>
    <col min="3852" max="3852" width="1.109375" style="105" customWidth="1"/>
    <col min="3853" max="3853" width="2.21875" style="105" customWidth="1"/>
    <col min="3854" max="3855" width="3.33203125" style="105" customWidth="1"/>
    <col min="3856" max="3856" width="2.21875" style="105" customWidth="1"/>
    <col min="3857" max="3857" width="1.109375" style="105" customWidth="1"/>
    <col min="3858" max="3858" width="3.33203125" style="105" customWidth="1"/>
    <col min="3859" max="3859" width="1.109375" style="105" customWidth="1"/>
    <col min="3860" max="3860" width="2.21875" style="105" customWidth="1"/>
    <col min="3861" max="3862" width="3.33203125" style="105" customWidth="1"/>
    <col min="3863" max="3863" width="2.21875" style="105" customWidth="1"/>
    <col min="3864" max="3864" width="1.109375" style="105" customWidth="1"/>
    <col min="3865" max="3865" width="3.33203125" style="105" customWidth="1"/>
    <col min="3866" max="3866" width="1.109375" style="105" customWidth="1"/>
    <col min="3867" max="3867" width="2.21875" style="105" customWidth="1"/>
    <col min="3868" max="3869" width="3.33203125" style="105" customWidth="1"/>
    <col min="3870" max="3870" width="2.21875" style="105" customWidth="1"/>
    <col min="3871" max="3871" width="1.109375" style="105" customWidth="1"/>
    <col min="3872" max="3872" width="3.33203125" style="105" customWidth="1"/>
    <col min="3873" max="3873" width="1.109375" style="105" customWidth="1"/>
    <col min="3874" max="3874" width="2.21875" style="105" customWidth="1"/>
    <col min="3875" max="3876" width="3.33203125" style="105" customWidth="1"/>
    <col min="3877" max="3877" width="2.21875" style="105" customWidth="1"/>
    <col min="3878" max="3878" width="1.109375" style="105" customWidth="1"/>
    <col min="3879" max="3879" width="3.33203125" style="105" customWidth="1"/>
    <col min="3880" max="3880" width="1.109375" style="105" customWidth="1"/>
    <col min="3881" max="3881" width="2.21875" style="105" customWidth="1"/>
    <col min="3882" max="3883" width="3.33203125" style="105" customWidth="1"/>
    <col min="3884" max="3884" width="2.21875" style="105" customWidth="1"/>
    <col min="3885" max="3885" width="1.109375" style="105" customWidth="1"/>
    <col min="3886" max="3886" width="3.33203125" style="105" customWidth="1"/>
    <col min="3887" max="3887" width="1.109375" style="105" customWidth="1"/>
    <col min="3888" max="3888" width="2.21875" style="105" customWidth="1"/>
    <col min="3889" max="3890" width="3.33203125" style="105" customWidth="1"/>
    <col min="3891" max="3891" width="2.21875" style="105" customWidth="1"/>
    <col min="3892" max="3892" width="1.109375" style="105" customWidth="1"/>
    <col min="3893" max="3893" width="3.33203125" style="105" customWidth="1"/>
    <col min="3894" max="3894" width="1.109375" style="105" customWidth="1"/>
    <col min="3895" max="3895" width="0.21875" style="105" customWidth="1"/>
    <col min="3896" max="3896" width="2" style="105" customWidth="1"/>
    <col min="3897" max="3898" width="3.33203125" style="105" customWidth="1"/>
    <col min="3899" max="3899" width="2.21875" style="105" customWidth="1"/>
    <col min="3900" max="3900" width="1.109375" style="105" customWidth="1"/>
    <col min="3901" max="3901" width="4.44140625" style="105" customWidth="1"/>
    <col min="3902" max="3943" width="11.109375" style="105" customWidth="1"/>
    <col min="3944" max="4096" width="8.88671875" style="105"/>
    <col min="4097" max="4097" width="3.33203125" style="105" customWidth="1"/>
    <col min="4098" max="4098" width="2.21875" style="105" customWidth="1"/>
    <col min="4099" max="4099" width="1.109375" style="105" customWidth="1"/>
    <col min="4100" max="4100" width="3.33203125" style="105" customWidth="1"/>
    <col min="4101" max="4101" width="1.109375" style="105" customWidth="1"/>
    <col min="4102" max="4102" width="2.21875" style="105" customWidth="1"/>
    <col min="4103" max="4104" width="3.33203125" style="105" customWidth="1"/>
    <col min="4105" max="4105" width="2.21875" style="105" customWidth="1"/>
    <col min="4106" max="4106" width="1.109375" style="105" customWidth="1"/>
    <col min="4107" max="4107" width="3.33203125" style="105" customWidth="1"/>
    <col min="4108" max="4108" width="1.109375" style="105" customWidth="1"/>
    <col min="4109" max="4109" width="2.21875" style="105" customWidth="1"/>
    <col min="4110" max="4111" width="3.33203125" style="105" customWidth="1"/>
    <col min="4112" max="4112" width="2.21875" style="105" customWidth="1"/>
    <col min="4113" max="4113" width="1.109375" style="105" customWidth="1"/>
    <col min="4114" max="4114" width="3.33203125" style="105" customWidth="1"/>
    <col min="4115" max="4115" width="1.109375" style="105" customWidth="1"/>
    <col min="4116" max="4116" width="2.21875" style="105" customWidth="1"/>
    <col min="4117" max="4118" width="3.33203125" style="105" customWidth="1"/>
    <col min="4119" max="4119" width="2.21875" style="105" customWidth="1"/>
    <col min="4120" max="4120" width="1.109375" style="105" customWidth="1"/>
    <col min="4121" max="4121" width="3.33203125" style="105" customWidth="1"/>
    <col min="4122" max="4122" width="1.109375" style="105" customWidth="1"/>
    <col min="4123" max="4123" width="2.21875" style="105" customWidth="1"/>
    <col min="4124" max="4125" width="3.33203125" style="105" customWidth="1"/>
    <col min="4126" max="4126" width="2.21875" style="105" customWidth="1"/>
    <col min="4127" max="4127" width="1.109375" style="105" customWidth="1"/>
    <col min="4128" max="4128" width="3.33203125" style="105" customWidth="1"/>
    <col min="4129" max="4129" width="1.109375" style="105" customWidth="1"/>
    <col min="4130" max="4130" width="2.21875" style="105" customWidth="1"/>
    <col min="4131" max="4132" width="3.33203125" style="105" customWidth="1"/>
    <col min="4133" max="4133" width="2.21875" style="105" customWidth="1"/>
    <col min="4134" max="4134" width="1.109375" style="105" customWidth="1"/>
    <col min="4135" max="4135" width="3.33203125" style="105" customWidth="1"/>
    <col min="4136" max="4136" width="1.109375" style="105" customWidth="1"/>
    <col min="4137" max="4137" width="2.21875" style="105" customWidth="1"/>
    <col min="4138" max="4139" width="3.33203125" style="105" customWidth="1"/>
    <col min="4140" max="4140" width="2.21875" style="105" customWidth="1"/>
    <col min="4141" max="4141" width="1.109375" style="105" customWidth="1"/>
    <col min="4142" max="4142" width="3.33203125" style="105" customWidth="1"/>
    <col min="4143" max="4143" width="1.109375" style="105" customWidth="1"/>
    <col min="4144" max="4144" width="2.21875" style="105" customWidth="1"/>
    <col min="4145" max="4146" width="3.33203125" style="105" customWidth="1"/>
    <col min="4147" max="4147" width="2.21875" style="105" customWidth="1"/>
    <col min="4148" max="4148" width="1.109375" style="105" customWidth="1"/>
    <col min="4149" max="4149" width="3.33203125" style="105" customWidth="1"/>
    <col min="4150" max="4150" width="1.109375" style="105" customWidth="1"/>
    <col min="4151" max="4151" width="0.21875" style="105" customWidth="1"/>
    <col min="4152" max="4152" width="2" style="105" customWidth="1"/>
    <col min="4153" max="4154" width="3.33203125" style="105" customWidth="1"/>
    <col min="4155" max="4155" width="2.21875" style="105" customWidth="1"/>
    <col min="4156" max="4156" width="1.109375" style="105" customWidth="1"/>
    <col min="4157" max="4157" width="4.44140625" style="105" customWidth="1"/>
    <col min="4158" max="4199" width="11.109375" style="105" customWidth="1"/>
    <col min="4200" max="4352" width="8.88671875" style="105"/>
    <col min="4353" max="4353" width="3.33203125" style="105" customWidth="1"/>
    <col min="4354" max="4354" width="2.21875" style="105" customWidth="1"/>
    <col min="4355" max="4355" width="1.109375" style="105" customWidth="1"/>
    <col min="4356" max="4356" width="3.33203125" style="105" customWidth="1"/>
    <col min="4357" max="4357" width="1.109375" style="105" customWidth="1"/>
    <col min="4358" max="4358" width="2.21875" style="105" customWidth="1"/>
    <col min="4359" max="4360" width="3.33203125" style="105" customWidth="1"/>
    <col min="4361" max="4361" width="2.21875" style="105" customWidth="1"/>
    <col min="4362" max="4362" width="1.109375" style="105" customWidth="1"/>
    <col min="4363" max="4363" width="3.33203125" style="105" customWidth="1"/>
    <col min="4364" max="4364" width="1.109375" style="105" customWidth="1"/>
    <col min="4365" max="4365" width="2.21875" style="105" customWidth="1"/>
    <col min="4366" max="4367" width="3.33203125" style="105" customWidth="1"/>
    <col min="4368" max="4368" width="2.21875" style="105" customWidth="1"/>
    <col min="4369" max="4369" width="1.109375" style="105" customWidth="1"/>
    <col min="4370" max="4370" width="3.33203125" style="105" customWidth="1"/>
    <col min="4371" max="4371" width="1.109375" style="105" customWidth="1"/>
    <col min="4372" max="4372" width="2.21875" style="105" customWidth="1"/>
    <col min="4373" max="4374" width="3.33203125" style="105" customWidth="1"/>
    <col min="4375" max="4375" width="2.21875" style="105" customWidth="1"/>
    <col min="4376" max="4376" width="1.109375" style="105" customWidth="1"/>
    <col min="4377" max="4377" width="3.33203125" style="105" customWidth="1"/>
    <col min="4378" max="4378" width="1.109375" style="105" customWidth="1"/>
    <col min="4379" max="4379" width="2.21875" style="105" customWidth="1"/>
    <col min="4380" max="4381" width="3.33203125" style="105" customWidth="1"/>
    <col min="4382" max="4382" width="2.21875" style="105" customWidth="1"/>
    <col min="4383" max="4383" width="1.109375" style="105" customWidth="1"/>
    <col min="4384" max="4384" width="3.33203125" style="105" customWidth="1"/>
    <col min="4385" max="4385" width="1.109375" style="105" customWidth="1"/>
    <col min="4386" max="4386" width="2.21875" style="105" customWidth="1"/>
    <col min="4387" max="4388" width="3.33203125" style="105" customWidth="1"/>
    <col min="4389" max="4389" width="2.21875" style="105" customWidth="1"/>
    <col min="4390" max="4390" width="1.109375" style="105" customWidth="1"/>
    <col min="4391" max="4391" width="3.33203125" style="105" customWidth="1"/>
    <col min="4392" max="4392" width="1.109375" style="105" customWidth="1"/>
    <col min="4393" max="4393" width="2.21875" style="105" customWidth="1"/>
    <col min="4394" max="4395" width="3.33203125" style="105" customWidth="1"/>
    <col min="4396" max="4396" width="2.21875" style="105" customWidth="1"/>
    <col min="4397" max="4397" width="1.109375" style="105" customWidth="1"/>
    <col min="4398" max="4398" width="3.33203125" style="105" customWidth="1"/>
    <col min="4399" max="4399" width="1.109375" style="105" customWidth="1"/>
    <col min="4400" max="4400" width="2.21875" style="105" customWidth="1"/>
    <col min="4401" max="4402" width="3.33203125" style="105" customWidth="1"/>
    <col min="4403" max="4403" width="2.21875" style="105" customWidth="1"/>
    <col min="4404" max="4404" width="1.109375" style="105" customWidth="1"/>
    <col min="4405" max="4405" width="3.33203125" style="105" customWidth="1"/>
    <col min="4406" max="4406" width="1.109375" style="105" customWidth="1"/>
    <col min="4407" max="4407" width="0.21875" style="105" customWidth="1"/>
    <col min="4408" max="4408" width="2" style="105" customWidth="1"/>
    <col min="4409" max="4410" width="3.33203125" style="105" customWidth="1"/>
    <col min="4411" max="4411" width="2.21875" style="105" customWidth="1"/>
    <col min="4412" max="4412" width="1.109375" style="105" customWidth="1"/>
    <col min="4413" max="4413" width="4.44140625" style="105" customWidth="1"/>
    <col min="4414" max="4455" width="11.109375" style="105" customWidth="1"/>
    <col min="4456" max="4608" width="8.88671875" style="105"/>
    <col min="4609" max="4609" width="3.33203125" style="105" customWidth="1"/>
    <col min="4610" max="4610" width="2.21875" style="105" customWidth="1"/>
    <col min="4611" max="4611" width="1.109375" style="105" customWidth="1"/>
    <col min="4612" max="4612" width="3.33203125" style="105" customWidth="1"/>
    <col min="4613" max="4613" width="1.109375" style="105" customWidth="1"/>
    <col min="4614" max="4614" width="2.21875" style="105" customWidth="1"/>
    <col min="4615" max="4616" width="3.33203125" style="105" customWidth="1"/>
    <col min="4617" max="4617" width="2.21875" style="105" customWidth="1"/>
    <col min="4618" max="4618" width="1.109375" style="105" customWidth="1"/>
    <col min="4619" max="4619" width="3.33203125" style="105" customWidth="1"/>
    <col min="4620" max="4620" width="1.109375" style="105" customWidth="1"/>
    <col min="4621" max="4621" width="2.21875" style="105" customWidth="1"/>
    <col min="4622" max="4623" width="3.33203125" style="105" customWidth="1"/>
    <col min="4624" max="4624" width="2.21875" style="105" customWidth="1"/>
    <col min="4625" max="4625" width="1.109375" style="105" customWidth="1"/>
    <col min="4626" max="4626" width="3.33203125" style="105" customWidth="1"/>
    <col min="4627" max="4627" width="1.109375" style="105" customWidth="1"/>
    <col min="4628" max="4628" width="2.21875" style="105" customWidth="1"/>
    <col min="4629" max="4630" width="3.33203125" style="105" customWidth="1"/>
    <col min="4631" max="4631" width="2.21875" style="105" customWidth="1"/>
    <col min="4632" max="4632" width="1.109375" style="105" customWidth="1"/>
    <col min="4633" max="4633" width="3.33203125" style="105" customWidth="1"/>
    <col min="4634" max="4634" width="1.109375" style="105" customWidth="1"/>
    <col min="4635" max="4635" width="2.21875" style="105" customWidth="1"/>
    <col min="4636" max="4637" width="3.33203125" style="105" customWidth="1"/>
    <col min="4638" max="4638" width="2.21875" style="105" customWidth="1"/>
    <col min="4639" max="4639" width="1.109375" style="105" customWidth="1"/>
    <col min="4640" max="4640" width="3.33203125" style="105" customWidth="1"/>
    <col min="4641" max="4641" width="1.109375" style="105" customWidth="1"/>
    <col min="4642" max="4642" width="2.21875" style="105" customWidth="1"/>
    <col min="4643" max="4644" width="3.33203125" style="105" customWidth="1"/>
    <col min="4645" max="4645" width="2.21875" style="105" customWidth="1"/>
    <col min="4646" max="4646" width="1.109375" style="105" customWidth="1"/>
    <col min="4647" max="4647" width="3.33203125" style="105" customWidth="1"/>
    <col min="4648" max="4648" width="1.109375" style="105" customWidth="1"/>
    <col min="4649" max="4649" width="2.21875" style="105" customWidth="1"/>
    <col min="4650" max="4651" width="3.33203125" style="105" customWidth="1"/>
    <col min="4652" max="4652" width="2.21875" style="105" customWidth="1"/>
    <col min="4653" max="4653" width="1.109375" style="105" customWidth="1"/>
    <col min="4654" max="4654" width="3.33203125" style="105" customWidth="1"/>
    <col min="4655" max="4655" width="1.109375" style="105" customWidth="1"/>
    <col min="4656" max="4656" width="2.21875" style="105" customWidth="1"/>
    <col min="4657" max="4658" width="3.33203125" style="105" customWidth="1"/>
    <col min="4659" max="4659" width="2.21875" style="105" customWidth="1"/>
    <col min="4660" max="4660" width="1.109375" style="105" customWidth="1"/>
    <col min="4661" max="4661" width="3.33203125" style="105" customWidth="1"/>
    <col min="4662" max="4662" width="1.109375" style="105" customWidth="1"/>
    <col min="4663" max="4663" width="0.21875" style="105" customWidth="1"/>
    <col min="4664" max="4664" width="2" style="105" customWidth="1"/>
    <col min="4665" max="4666" width="3.33203125" style="105" customWidth="1"/>
    <col min="4667" max="4667" width="2.21875" style="105" customWidth="1"/>
    <col min="4668" max="4668" width="1.109375" style="105" customWidth="1"/>
    <col min="4669" max="4669" width="4.44140625" style="105" customWidth="1"/>
    <col min="4670" max="4711" width="11.109375" style="105" customWidth="1"/>
    <col min="4712" max="4864" width="8.88671875" style="105"/>
    <col min="4865" max="4865" width="3.33203125" style="105" customWidth="1"/>
    <col min="4866" max="4866" width="2.21875" style="105" customWidth="1"/>
    <col min="4867" max="4867" width="1.109375" style="105" customWidth="1"/>
    <col min="4868" max="4868" width="3.33203125" style="105" customWidth="1"/>
    <col min="4869" max="4869" width="1.109375" style="105" customWidth="1"/>
    <col min="4870" max="4870" width="2.21875" style="105" customWidth="1"/>
    <col min="4871" max="4872" width="3.33203125" style="105" customWidth="1"/>
    <col min="4873" max="4873" width="2.21875" style="105" customWidth="1"/>
    <col min="4874" max="4874" width="1.109375" style="105" customWidth="1"/>
    <col min="4875" max="4875" width="3.33203125" style="105" customWidth="1"/>
    <col min="4876" max="4876" width="1.109375" style="105" customWidth="1"/>
    <col min="4877" max="4877" width="2.21875" style="105" customWidth="1"/>
    <col min="4878" max="4879" width="3.33203125" style="105" customWidth="1"/>
    <col min="4880" max="4880" width="2.21875" style="105" customWidth="1"/>
    <col min="4881" max="4881" width="1.109375" style="105" customWidth="1"/>
    <col min="4882" max="4882" width="3.33203125" style="105" customWidth="1"/>
    <col min="4883" max="4883" width="1.109375" style="105" customWidth="1"/>
    <col min="4884" max="4884" width="2.21875" style="105" customWidth="1"/>
    <col min="4885" max="4886" width="3.33203125" style="105" customWidth="1"/>
    <col min="4887" max="4887" width="2.21875" style="105" customWidth="1"/>
    <col min="4888" max="4888" width="1.109375" style="105" customWidth="1"/>
    <col min="4889" max="4889" width="3.33203125" style="105" customWidth="1"/>
    <col min="4890" max="4890" width="1.109375" style="105" customWidth="1"/>
    <col min="4891" max="4891" width="2.21875" style="105" customWidth="1"/>
    <col min="4892" max="4893" width="3.33203125" style="105" customWidth="1"/>
    <col min="4894" max="4894" width="2.21875" style="105" customWidth="1"/>
    <col min="4895" max="4895" width="1.109375" style="105" customWidth="1"/>
    <col min="4896" max="4896" width="3.33203125" style="105" customWidth="1"/>
    <col min="4897" max="4897" width="1.109375" style="105" customWidth="1"/>
    <col min="4898" max="4898" width="2.21875" style="105" customWidth="1"/>
    <col min="4899" max="4900" width="3.33203125" style="105" customWidth="1"/>
    <col min="4901" max="4901" width="2.21875" style="105" customWidth="1"/>
    <col min="4902" max="4902" width="1.109375" style="105" customWidth="1"/>
    <col min="4903" max="4903" width="3.33203125" style="105" customWidth="1"/>
    <col min="4904" max="4904" width="1.109375" style="105" customWidth="1"/>
    <col min="4905" max="4905" width="2.21875" style="105" customWidth="1"/>
    <col min="4906" max="4907" width="3.33203125" style="105" customWidth="1"/>
    <col min="4908" max="4908" width="2.21875" style="105" customWidth="1"/>
    <col min="4909" max="4909" width="1.109375" style="105" customWidth="1"/>
    <col min="4910" max="4910" width="3.33203125" style="105" customWidth="1"/>
    <col min="4911" max="4911" width="1.109375" style="105" customWidth="1"/>
    <col min="4912" max="4912" width="2.21875" style="105" customWidth="1"/>
    <col min="4913" max="4914" width="3.33203125" style="105" customWidth="1"/>
    <col min="4915" max="4915" width="2.21875" style="105" customWidth="1"/>
    <col min="4916" max="4916" width="1.109375" style="105" customWidth="1"/>
    <col min="4917" max="4917" width="3.33203125" style="105" customWidth="1"/>
    <col min="4918" max="4918" width="1.109375" style="105" customWidth="1"/>
    <col min="4919" max="4919" width="0.21875" style="105" customWidth="1"/>
    <col min="4920" max="4920" width="2" style="105" customWidth="1"/>
    <col min="4921" max="4922" width="3.33203125" style="105" customWidth="1"/>
    <col min="4923" max="4923" width="2.21875" style="105" customWidth="1"/>
    <col min="4924" max="4924" width="1.109375" style="105" customWidth="1"/>
    <col min="4925" max="4925" width="4.44140625" style="105" customWidth="1"/>
    <col min="4926" max="4967" width="11.109375" style="105" customWidth="1"/>
    <col min="4968" max="5120" width="8.88671875" style="105"/>
    <col min="5121" max="5121" width="3.33203125" style="105" customWidth="1"/>
    <col min="5122" max="5122" width="2.21875" style="105" customWidth="1"/>
    <col min="5123" max="5123" width="1.109375" style="105" customWidth="1"/>
    <col min="5124" max="5124" width="3.33203125" style="105" customWidth="1"/>
    <col min="5125" max="5125" width="1.109375" style="105" customWidth="1"/>
    <col min="5126" max="5126" width="2.21875" style="105" customWidth="1"/>
    <col min="5127" max="5128" width="3.33203125" style="105" customWidth="1"/>
    <col min="5129" max="5129" width="2.21875" style="105" customWidth="1"/>
    <col min="5130" max="5130" width="1.109375" style="105" customWidth="1"/>
    <col min="5131" max="5131" width="3.33203125" style="105" customWidth="1"/>
    <col min="5132" max="5132" width="1.109375" style="105" customWidth="1"/>
    <col min="5133" max="5133" width="2.21875" style="105" customWidth="1"/>
    <col min="5134" max="5135" width="3.33203125" style="105" customWidth="1"/>
    <col min="5136" max="5136" width="2.21875" style="105" customWidth="1"/>
    <col min="5137" max="5137" width="1.109375" style="105" customWidth="1"/>
    <col min="5138" max="5138" width="3.33203125" style="105" customWidth="1"/>
    <col min="5139" max="5139" width="1.109375" style="105" customWidth="1"/>
    <col min="5140" max="5140" width="2.21875" style="105" customWidth="1"/>
    <col min="5141" max="5142" width="3.33203125" style="105" customWidth="1"/>
    <col min="5143" max="5143" width="2.21875" style="105" customWidth="1"/>
    <col min="5144" max="5144" width="1.109375" style="105" customWidth="1"/>
    <col min="5145" max="5145" width="3.33203125" style="105" customWidth="1"/>
    <col min="5146" max="5146" width="1.109375" style="105" customWidth="1"/>
    <col min="5147" max="5147" width="2.21875" style="105" customWidth="1"/>
    <col min="5148" max="5149" width="3.33203125" style="105" customWidth="1"/>
    <col min="5150" max="5150" width="2.21875" style="105" customWidth="1"/>
    <col min="5151" max="5151" width="1.109375" style="105" customWidth="1"/>
    <col min="5152" max="5152" width="3.33203125" style="105" customWidth="1"/>
    <col min="5153" max="5153" width="1.109375" style="105" customWidth="1"/>
    <col min="5154" max="5154" width="2.21875" style="105" customWidth="1"/>
    <col min="5155" max="5156" width="3.33203125" style="105" customWidth="1"/>
    <col min="5157" max="5157" width="2.21875" style="105" customWidth="1"/>
    <col min="5158" max="5158" width="1.109375" style="105" customWidth="1"/>
    <col min="5159" max="5159" width="3.33203125" style="105" customWidth="1"/>
    <col min="5160" max="5160" width="1.109375" style="105" customWidth="1"/>
    <col min="5161" max="5161" width="2.21875" style="105" customWidth="1"/>
    <col min="5162" max="5163" width="3.33203125" style="105" customWidth="1"/>
    <col min="5164" max="5164" width="2.21875" style="105" customWidth="1"/>
    <col min="5165" max="5165" width="1.109375" style="105" customWidth="1"/>
    <col min="5166" max="5166" width="3.33203125" style="105" customWidth="1"/>
    <col min="5167" max="5167" width="1.109375" style="105" customWidth="1"/>
    <col min="5168" max="5168" width="2.21875" style="105" customWidth="1"/>
    <col min="5169" max="5170" width="3.33203125" style="105" customWidth="1"/>
    <col min="5171" max="5171" width="2.21875" style="105" customWidth="1"/>
    <col min="5172" max="5172" width="1.109375" style="105" customWidth="1"/>
    <col min="5173" max="5173" width="3.33203125" style="105" customWidth="1"/>
    <col min="5174" max="5174" width="1.109375" style="105" customWidth="1"/>
    <col min="5175" max="5175" width="0.21875" style="105" customWidth="1"/>
    <col min="5176" max="5176" width="2" style="105" customWidth="1"/>
    <col min="5177" max="5178" width="3.33203125" style="105" customWidth="1"/>
    <col min="5179" max="5179" width="2.21875" style="105" customWidth="1"/>
    <col min="5180" max="5180" width="1.109375" style="105" customWidth="1"/>
    <col min="5181" max="5181" width="4.44140625" style="105" customWidth="1"/>
    <col min="5182" max="5223" width="11.109375" style="105" customWidth="1"/>
    <col min="5224" max="5376" width="8.88671875" style="105"/>
    <col min="5377" max="5377" width="3.33203125" style="105" customWidth="1"/>
    <col min="5378" max="5378" width="2.21875" style="105" customWidth="1"/>
    <col min="5379" max="5379" width="1.109375" style="105" customWidth="1"/>
    <col min="5380" max="5380" width="3.33203125" style="105" customWidth="1"/>
    <col min="5381" max="5381" width="1.109375" style="105" customWidth="1"/>
    <col min="5382" max="5382" width="2.21875" style="105" customWidth="1"/>
    <col min="5383" max="5384" width="3.33203125" style="105" customWidth="1"/>
    <col min="5385" max="5385" width="2.21875" style="105" customWidth="1"/>
    <col min="5386" max="5386" width="1.109375" style="105" customWidth="1"/>
    <col min="5387" max="5387" width="3.33203125" style="105" customWidth="1"/>
    <col min="5388" max="5388" width="1.109375" style="105" customWidth="1"/>
    <col min="5389" max="5389" width="2.21875" style="105" customWidth="1"/>
    <col min="5390" max="5391" width="3.33203125" style="105" customWidth="1"/>
    <col min="5392" max="5392" width="2.21875" style="105" customWidth="1"/>
    <col min="5393" max="5393" width="1.109375" style="105" customWidth="1"/>
    <col min="5394" max="5394" width="3.33203125" style="105" customWidth="1"/>
    <col min="5395" max="5395" width="1.109375" style="105" customWidth="1"/>
    <col min="5396" max="5396" width="2.21875" style="105" customWidth="1"/>
    <col min="5397" max="5398" width="3.33203125" style="105" customWidth="1"/>
    <col min="5399" max="5399" width="2.21875" style="105" customWidth="1"/>
    <col min="5400" max="5400" width="1.109375" style="105" customWidth="1"/>
    <col min="5401" max="5401" width="3.33203125" style="105" customWidth="1"/>
    <col min="5402" max="5402" width="1.109375" style="105" customWidth="1"/>
    <col min="5403" max="5403" width="2.21875" style="105" customWidth="1"/>
    <col min="5404" max="5405" width="3.33203125" style="105" customWidth="1"/>
    <col min="5406" max="5406" width="2.21875" style="105" customWidth="1"/>
    <col min="5407" max="5407" width="1.109375" style="105" customWidth="1"/>
    <col min="5408" max="5408" width="3.33203125" style="105" customWidth="1"/>
    <col min="5409" max="5409" width="1.109375" style="105" customWidth="1"/>
    <col min="5410" max="5410" width="2.21875" style="105" customWidth="1"/>
    <col min="5411" max="5412" width="3.33203125" style="105" customWidth="1"/>
    <col min="5413" max="5413" width="2.21875" style="105" customWidth="1"/>
    <col min="5414" max="5414" width="1.109375" style="105" customWidth="1"/>
    <col min="5415" max="5415" width="3.33203125" style="105" customWidth="1"/>
    <col min="5416" max="5416" width="1.109375" style="105" customWidth="1"/>
    <col min="5417" max="5417" width="2.21875" style="105" customWidth="1"/>
    <col min="5418" max="5419" width="3.33203125" style="105" customWidth="1"/>
    <col min="5420" max="5420" width="2.21875" style="105" customWidth="1"/>
    <col min="5421" max="5421" width="1.109375" style="105" customWidth="1"/>
    <col min="5422" max="5422" width="3.33203125" style="105" customWidth="1"/>
    <col min="5423" max="5423" width="1.109375" style="105" customWidth="1"/>
    <col min="5424" max="5424" width="2.21875" style="105" customWidth="1"/>
    <col min="5425" max="5426" width="3.33203125" style="105" customWidth="1"/>
    <col min="5427" max="5427" width="2.21875" style="105" customWidth="1"/>
    <col min="5428" max="5428" width="1.109375" style="105" customWidth="1"/>
    <col min="5429" max="5429" width="3.33203125" style="105" customWidth="1"/>
    <col min="5430" max="5430" width="1.109375" style="105" customWidth="1"/>
    <col min="5431" max="5431" width="0.21875" style="105" customWidth="1"/>
    <col min="5432" max="5432" width="2" style="105" customWidth="1"/>
    <col min="5433" max="5434" width="3.33203125" style="105" customWidth="1"/>
    <col min="5435" max="5435" width="2.21875" style="105" customWidth="1"/>
    <col min="5436" max="5436" width="1.109375" style="105" customWidth="1"/>
    <col min="5437" max="5437" width="4.44140625" style="105" customWidth="1"/>
    <col min="5438" max="5479" width="11.109375" style="105" customWidth="1"/>
    <col min="5480" max="5632" width="8.88671875" style="105"/>
    <col min="5633" max="5633" width="3.33203125" style="105" customWidth="1"/>
    <col min="5634" max="5634" width="2.21875" style="105" customWidth="1"/>
    <col min="5635" max="5635" width="1.109375" style="105" customWidth="1"/>
    <col min="5636" max="5636" width="3.33203125" style="105" customWidth="1"/>
    <col min="5637" max="5637" width="1.109375" style="105" customWidth="1"/>
    <col min="5638" max="5638" width="2.21875" style="105" customWidth="1"/>
    <col min="5639" max="5640" width="3.33203125" style="105" customWidth="1"/>
    <col min="5641" max="5641" width="2.21875" style="105" customWidth="1"/>
    <col min="5642" max="5642" width="1.109375" style="105" customWidth="1"/>
    <col min="5643" max="5643" width="3.33203125" style="105" customWidth="1"/>
    <col min="5644" max="5644" width="1.109375" style="105" customWidth="1"/>
    <col min="5645" max="5645" width="2.21875" style="105" customWidth="1"/>
    <col min="5646" max="5647" width="3.33203125" style="105" customWidth="1"/>
    <col min="5648" max="5648" width="2.21875" style="105" customWidth="1"/>
    <col min="5649" max="5649" width="1.109375" style="105" customWidth="1"/>
    <col min="5650" max="5650" width="3.33203125" style="105" customWidth="1"/>
    <col min="5651" max="5651" width="1.109375" style="105" customWidth="1"/>
    <col min="5652" max="5652" width="2.21875" style="105" customWidth="1"/>
    <col min="5653" max="5654" width="3.33203125" style="105" customWidth="1"/>
    <col min="5655" max="5655" width="2.21875" style="105" customWidth="1"/>
    <col min="5656" max="5656" width="1.109375" style="105" customWidth="1"/>
    <col min="5657" max="5657" width="3.33203125" style="105" customWidth="1"/>
    <col min="5658" max="5658" width="1.109375" style="105" customWidth="1"/>
    <col min="5659" max="5659" width="2.21875" style="105" customWidth="1"/>
    <col min="5660" max="5661" width="3.33203125" style="105" customWidth="1"/>
    <col min="5662" max="5662" width="2.21875" style="105" customWidth="1"/>
    <col min="5663" max="5663" width="1.109375" style="105" customWidth="1"/>
    <col min="5664" max="5664" width="3.33203125" style="105" customWidth="1"/>
    <col min="5665" max="5665" width="1.109375" style="105" customWidth="1"/>
    <col min="5666" max="5666" width="2.21875" style="105" customWidth="1"/>
    <col min="5667" max="5668" width="3.33203125" style="105" customWidth="1"/>
    <col min="5669" max="5669" width="2.21875" style="105" customWidth="1"/>
    <col min="5670" max="5670" width="1.109375" style="105" customWidth="1"/>
    <col min="5671" max="5671" width="3.33203125" style="105" customWidth="1"/>
    <col min="5672" max="5672" width="1.109375" style="105" customWidth="1"/>
    <col min="5673" max="5673" width="2.21875" style="105" customWidth="1"/>
    <col min="5674" max="5675" width="3.33203125" style="105" customWidth="1"/>
    <col min="5676" max="5676" width="2.21875" style="105" customWidth="1"/>
    <col min="5677" max="5677" width="1.109375" style="105" customWidth="1"/>
    <col min="5678" max="5678" width="3.33203125" style="105" customWidth="1"/>
    <col min="5679" max="5679" width="1.109375" style="105" customWidth="1"/>
    <col min="5680" max="5680" width="2.21875" style="105" customWidth="1"/>
    <col min="5681" max="5682" width="3.33203125" style="105" customWidth="1"/>
    <col min="5683" max="5683" width="2.21875" style="105" customWidth="1"/>
    <col min="5684" max="5684" width="1.109375" style="105" customWidth="1"/>
    <col min="5685" max="5685" width="3.33203125" style="105" customWidth="1"/>
    <col min="5686" max="5686" width="1.109375" style="105" customWidth="1"/>
    <col min="5687" max="5687" width="0.21875" style="105" customWidth="1"/>
    <col min="5688" max="5688" width="2" style="105" customWidth="1"/>
    <col min="5689" max="5690" width="3.33203125" style="105" customWidth="1"/>
    <col min="5691" max="5691" width="2.21875" style="105" customWidth="1"/>
    <col min="5692" max="5692" width="1.109375" style="105" customWidth="1"/>
    <col min="5693" max="5693" width="4.44140625" style="105" customWidth="1"/>
    <col min="5694" max="5735" width="11.109375" style="105" customWidth="1"/>
    <col min="5736" max="5888" width="8.88671875" style="105"/>
    <col min="5889" max="5889" width="3.33203125" style="105" customWidth="1"/>
    <col min="5890" max="5890" width="2.21875" style="105" customWidth="1"/>
    <col min="5891" max="5891" width="1.109375" style="105" customWidth="1"/>
    <col min="5892" max="5892" width="3.33203125" style="105" customWidth="1"/>
    <col min="5893" max="5893" width="1.109375" style="105" customWidth="1"/>
    <col min="5894" max="5894" width="2.21875" style="105" customWidth="1"/>
    <col min="5895" max="5896" width="3.33203125" style="105" customWidth="1"/>
    <col min="5897" max="5897" width="2.21875" style="105" customWidth="1"/>
    <col min="5898" max="5898" width="1.109375" style="105" customWidth="1"/>
    <col min="5899" max="5899" width="3.33203125" style="105" customWidth="1"/>
    <col min="5900" max="5900" width="1.109375" style="105" customWidth="1"/>
    <col min="5901" max="5901" width="2.21875" style="105" customWidth="1"/>
    <col min="5902" max="5903" width="3.33203125" style="105" customWidth="1"/>
    <col min="5904" max="5904" width="2.21875" style="105" customWidth="1"/>
    <col min="5905" max="5905" width="1.109375" style="105" customWidth="1"/>
    <col min="5906" max="5906" width="3.33203125" style="105" customWidth="1"/>
    <col min="5907" max="5907" width="1.109375" style="105" customWidth="1"/>
    <col min="5908" max="5908" width="2.21875" style="105" customWidth="1"/>
    <col min="5909" max="5910" width="3.33203125" style="105" customWidth="1"/>
    <col min="5911" max="5911" width="2.21875" style="105" customWidth="1"/>
    <col min="5912" max="5912" width="1.109375" style="105" customWidth="1"/>
    <col min="5913" max="5913" width="3.33203125" style="105" customWidth="1"/>
    <col min="5914" max="5914" width="1.109375" style="105" customWidth="1"/>
    <col min="5915" max="5915" width="2.21875" style="105" customWidth="1"/>
    <col min="5916" max="5917" width="3.33203125" style="105" customWidth="1"/>
    <col min="5918" max="5918" width="2.21875" style="105" customWidth="1"/>
    <col min="5919" max="5919" width="1.109375" style="105" customWidth="1"/>
    <col min="5920" max="5920" width="3.33203125" style="105" customWidth="1"/>
    <col min="5921" max="5921" width="1.109375" style="105" customWidth="1"/>
    <col min="5922" max="5922" width="2.21875" style="105" customWidth="1"/>
    <col min="5923" max="5924" width="3.33203125" style="105" customWidth="1"/>
    <col min="5925" max="5925" width="2.21875" style="105" customWidth="1"/>
    <col min="5926" max="5926" width="1.109375" style="105" customWidth="1"/>
    <col min="5927" max="5927" width="3.33203125" style="105" customWidth="1"/>
    <col min="5928" max="5928" width="1.109375" style="105" customWidth="1"/>
    <col min="5929" max="5929" width="2.21875" style="105" customWidth="1"/>
    <col min="5930" max="5931" width="3.33203125" style="105" customWidth="1"/>
    <col min="5932" max="5932" width="2.21875" style="105" customWidth="1"/>
    <col min="5933" max="5933" width="1.109375" style="105" customWidth="1"/>
    <col min="5934" max="5934" width="3.33203125" style="105" customWidth="1"/>
    <col min="5935" max="5935" width="1.109375" style="105" customWidth="1"/>
    <col min="5936" max="5936" width="2.21875" style="105" customWidth="1"/>
    <col min="5937" max="5938" width="3.33203125" style="105" customWidth="1"/>
    <col min="5939" max="5939" width="2.21875" style="105" customWidth="1"/>
    <col min="5940" max="5940" width="1.109375" style="105" customWidth="1"/>
    <col min="5941" max="5941" width="3.33203125" style="105" customWidth="1"/>
    <col min="5942" max="5942" width="1.109375" style="105" customWidth="1"/>
    <col min="5943" max="5943" width="0.21875" style="105" customWidth="1"/>
    <col min="5944" max="5944" width="2" style="105" customWidth="1"/>
    <col min="5945" max="5946" width="3.33203125" style="105" customWidth="1"/>
    <col min="5947" max="5947" width="2.21875" style="105" customWidth="1"/>
    <col min="5948" max="5948" width="1.109375" style="105" customWidth="1"/>
    <col min="5949" max="5949" width="4.44140625" style="105" customWidth="1"/>
    <col min="5950" max="5991" width="11.109375" style="105" customWidth="1"/>
    <col min="5992" max="6144" width="8.88671875" style="105"/>
    <col min="6145" max="6145" width="3.33203125" style="105" customWidth="1"/>
    <col min="6146" max="6146" width="2.21875" style="105" customWidth="1"/>
    <col min="6147" max="6147" width="1.109375" style="105" customWidth="1"/>
    <col min="6148" max="6148" width="3.33203125" style="105" customWidth="1"/>
    <col min="6149" max="6149" width="1.109375" style="105" customWidth="1"/>
    <col min="6150" max="6150" width="2.21875" style="105" customWidth="1"/>
    <col min="6151" max="6152" width="3.33203125" style="105" customWidth="1"/>
    <col min="6153" max="6153" width="2.21875" style="105" customWidth="1"/>
    <col min="6154" max="6154" width="1.109375" style="105" customWidth="1"/>
    <col min="6155" max="6155" width="3.33203125" style="105" customWidth="1"/>
    <col min="6156" max="6156" width="1.109375" style="105" customWidth="1"/>
    <col min="6157" max="6157" width="2.21875" style="105" customWidth="1"/>
    <col min="6158" max="6159" width="3.33203125" style="105" customWidth="1"/>
    <col min="6160" max="6160" width="2.21875" style="105" customWidth="1"/>
    <col min="6161" max="6161" width="1.109375" style="105" customWidth="1"/>
    <col min="6162" max="6162" width="3.33203125" style="105" customWidth="1"/>
    <col min="6163" max="6163" width="1.109375" style="105" customWidth="1"/>
    <col min="6164" max="6164" width="2.21875" style="105" customWidth="1"/>
    <col min="6165" max="6166" width="3.33203125" style="105" customWidth="1"/>
    <col min="6167" max="6167" width="2.21875" style="105" customWidth="1"/>
    <col min="6168" max="6168" width="1.109375" style="105" customWidth="1"/>
    <col min="6169" max="6169" width="3.33203125" style="105" customWidth="1"/>
    <col min="6170" max="6170" width="1.109375" style="105" customWidth="1"/>
    <col min="6171" max="6171" width="2.21875" style="105" customWidth="1"/>
    <col min="6172" max="6173" width="3.33203125" style="105" customWidth="1"/>
    <col min="6174" max="6174" width="2.21875" style="105" customWidth="1"/>
    <col min="6175" max="6175" width="1.109375" style="105" customWidth="1"/>
    <col min="6176" max="6176" width="3.33203125" style="105" customWidth="1"/>
    <col min="6177" max="6177" width="1.109375" style="105" customWidth="1"/>
    <col min="6178" max="6178" width="2.21875" style="105" customWidth="1"/>
    <col min="6179" max="6180" width="3.33203125" style="105" customWidth="1"/>
    <col min="6181" max="6181" width="2.21875" style="105" customWidth="1"/>
    <col min="6182" max="6182" width="1.109375" style="105" customWidth="1"/>
    <col min="6183" max="6183" width="3.33203125" style="105" customWidth="1"/>
    <col min="6184" max="6184" width="1.109375" style="105" customWidth="1"/>
    <col min="6185" max="6185" width="2.21875" style="105" customWidth="1"/>
    <col min="6186" max="6187" width="3.33203125" style="105" customWidth="1"/>
    <col min="6188" max="6188" width="2.21875" style="105" customWidth="1"/>
    <col min="6189" max="6189" width="1.109375" style="105" customWidth="1"/>
    <col min="6190" max="6190" width="3.33203125" style="105" customWidth="1"/>
    <col min="6191" max="6191" width="1.109375" style="105" customWidth="1"/>
    <col min="6192" max="6192" width="2.21875" style="105" customWidth="1"/>
    <col min="6193" max="6194" width="3.33203125" style="105" customWidth="1"/>
    <col min="6195" max="6195" width="2.21875" style="105" customWidth="1"/>
    <col min="6196" max="6196" width="1.109375" style="105" customWidth="1"/>
    <col min="6197" max="6197" width="3.33203125" style="105" customWidth="1"/>
    <col min="6198" max="6198" width="1.109375" style="105" customWidth="1"/>
    <col min="6199" max="6199" width="0.21875" style="105" customWidth="1"/>
    <col min="6200" max="6200" width="2" style="105" customWidth="1"/>
    <col min="6201" max="6202" width="3.33203125" style="105" customWidth="1"/>
    <col min="6203" max="6203" width="2.21875" style="105" customWidth="1"/>
    <col min="6204" max="6204" width="1.109375" style="105" customWidth="1"/>
    <col min="6205" max="6205" width="4.44140625" style="105" customWidth="1"/>
    <col min="6206" max="6247" width="11.109375" style="105" customWidth="1"/>
    <col min="6248" max="6400" width="8.88671875" style="105"/>
    <col min="6401" max="6401" width="3.33203125" style="105" customWidth="1"/>
    <col min="6402" max="6402" width="2.21875" style="105" customWidth="1"/>
    <col min="6403" max="6403" width="1.109375" style="105" customWidth="1"/>
    <col min="6404" max="6404" width="3.33203125" style="105" customWidth="1"/>
    <col min="6405" max="6405" width="1.109375" style="105" customWidth="1"/>
    <col min="6406" max="6406" width="2.21875" style="105" customWidth="1"/>
    <col min="6407" max="6408" width="3.33203125" style="105" customWidth="1"/>
    <col min="6409" max="6409" width="2.21875" style="105" customWidth="1"/>
    <col min="6410" max="6410" width="1.109375" style="105" customWidth="1"/>
    <col min="6411" max="6411" width="3.33203125" style="105" customWidth="1"/>
    <col min="6412" max="6412" width="1.109375" style="105" customWidth="1"/>
    <col min="6413" max="6413" width="2.21875" style="105" customWidth="1"/>
    <col min="6414" max="6415" width="3.33203125" style="105" customWidth="1"/>
    <col min="6416" max="6416" width="2.21875" style="105" customWidth="1"/>
    <col min="6417" max="6417" width="1.109375" style="105" customWidth="1"/>
    <col min="6418" max="6418" width="3.33203125" style="105" customWidth="1"/>
    <col min="6419" max="6419" width="1.109375" style="105" customWidth="1"/>
    <col min="6420" max="6420" width="2.21875" style="105" customWidth="1"/>
    <col min="6421" max="6422" width="3.33203125" style="105" customWidth="1"/>
    <col min="6423" max="6423" width="2.21875" style="105" customWidth="1"/>
    <col min="6424" max="6424" width="1.109375" style="105" customWidth="1"/>
    <col min="6425" max="6425" width="3.33203125" style="105" customWidth="1"/>
    <col min="6426" max="6426" width="1.109375" style="105" customWidth="1"/>
    <col min="6427" max="6427" width="2.21875" style="105" customWidth="1"/>
    <col min="6428" max="6429" width="3.33203125" style="105" customWidth="1"/>
    <col min="6430" max="6430" width="2.21875" style="105" customWidth="1"/>
    <col min="6431" max="6431" width="1.109375" style="105" customWidth="1"/>
    <col min="6432" max="6432" width="3.33203125" style="105" customWidth="1"/>
    <col min="6433" max="6433" width="1.109375" style="105" customWidth="1"/>
    <col min="6434" max="6434" width="2.21875" style="105" customWidth="1"/>
    <col min="6435" max="6436" width="3.33203125" style="105" customWidth="1"/>
    <col min="6437" max="6437" width="2.21875" style="105" customWidth="1"/>
    <col min="6438" max="6438" width="1.109375" style="105" customWidth="1"/>
    <col min="6439" max="6439" width="3.33203125" style="105" customWidth="1"/>
    <col min="6440" max="6440" width="1.109375" style="105" customWidth="1"/>
    <col min="6441" max="6441" width="2.21875" style="105" customWidth="1"/>
    <col min="6442" max="6443" width="3.33203125" style="105" customWidth="1"/>
    <col min="6444" max="6444" width="2.21875" style="105" customWidth="1"/>
    <col min="6445" max="6445" width="1.109375" style="105" customWidth="1"/>
    <col min="6446" max="6446" width="3.33203125" style="105" customWidth="1"/>
    <col min="6447" max="6447" width="1.109375" style="105" customWidth="1"/>
    <col min="6448" max="6448" width="2.21875" style="105" customWidth="1"/>
    <col min="6449" max="6450" width="3.33203125" style="105" customWidth="1"/>
    <col min="6451" max="6451" width="2.21875" style="105" customWidth="1"/>
    <col min="6452" max="6452" width="1.109375" style="105" customWidth="1"/>
    <col min="6453" max="6453" width="3.33203125" style="105" customWidth="1"/>
    <col min="6454" max="6454" width="1.109375" style="105" customWidth="1"/>
    <col min="6455" max="6455" width="0.21875" style="105" customWidth="1"/>
    <col min="6456" max="6456" width="2" style="105" customWidth="1"/>
    <col min="6457" max="6458" width="3.33203125" style="105" customWidth="1"/>
    <col min="6459" max="6459" width="2.21875" style="105" customWidth="1"/>
    <col min="6460" max="6460" width="1.109375" style="105" customWidth="1"/>
    <col min="6461" max="6461" width="4.44140625" style="105" customWidth="1"/>
    <col min="6462" max="6503" width="11.109375" style="105" customWidth="1"/>
    <col min="6504" max="6656" width="8.88671875" style="105"/>
    <col min="6657" max="6657" width="3.33203125" style="105" customWidth="1"/>
    <col min="6658" max="6658" width="2.21875" style="105" customWidth="1"/>
    <col min="6659" max="6659" width="1.109375" style="105" customWidth="1"/>
    <col min="6660" max="6660" width="3.33203125" style="105" customWidth="1"/>
    <col min="6661" max="6661" width="1.109375" style="105" customWidth="1"/>
    <col min="6662" max="6662" width="2.21875" style="105" customWidth="1"/>
    <col min="6663" max="6664" width="3.33203125" style="105" customWidth="1"/>
    <col min="6665" max="6665" width="2.21875" style="105" customWidth="1"/>
    <col min="6666" max="6666" width="1.109375" style="105" customWidth="1"/>
    <col min="6667" max="6667" width="3.33203125" style="105" customWidth="1"/>
    <col min="6668" max="6668" width="1.109375" style="105" customWidth="1"/>
    <col min="6669" max="6669" width="2.21875" style="105" customWidth="1"/>
    <col min="6670" max="6671" width="3.33203125" style="105" customWidth="1"/>
    <col min="6672" max="6672" width="2.21875" style="105" customWidth="1"/>
    <col min="6673" max="6673" width="1.109375" style="105" customWidth="1"/>
    <col min="6674" max="6674" width="3.33203125" style="105" customWidth="1"/>
    <col min="6675" max="6675" width="1.109375" style="105" customWidth="1"/>
    <col min="6676" max="6676" width="2.21875" style="105" customWidth="1"/>
    <col min="6677" max="6678" width="3.33203125" style="105" customWidth="1"/>
    <col min="6679" max="6679" width="2.21875" style="105" customWidth="1"/>
    <col min="6680" max="6680" width="1.109375" style="105" customWidth="1"/>
    <col min="6681" max="6681" width="3.33203125" style="105" customWidth="1"/>
    <col min="6682" max="6682" width="1.109375" style="105" customWidth="1"/>
    <col min="6683" max="6683" width="2.21875" style="105" customWidth="1"/>
    <col min="6684" max="6685" width="3.33203125" style="105" customWidth="1"/>
    <col min="6686" max="6686" width="2.21875" style="105" customWidth="1"/>
    <col min="6687" max="6687" width="1.109375" style="105" customWidth="1"/>
    <col min="6688" max="6688" width="3.33203125" style="105" customWidth="1"/>
    <col min="6689" max="6689" width="1.109375" style="105" customWidth="1"/>
    <col min="6690" max="6690" width="2.21875" style="105" customWidth="1"/>
    <col min="6691" max="6692" width="3.33203125" style="105" customWidth="1"/>
    <col min="6693" max="6693" width="2.21875" style="105" customWidth="1"/>
    <col min="6694" max="6694" width="1.109375" style="105" customWidth="1"/>
    <col min="6695" max="6695" width="3.33203125" style="105" customWidth="1"/>
    <col min="6696" max="6696" width="1.109375" style="105" customWidth="1"/>
    <col min="6697" max="6697" width="2.21875" style="105" customWidth="1"/>
    <col min="6698" max="6699" width="3.33203125" style="105" customWidth="1"/>
    <col min="6700" max="6700" width="2.21875" style="105" customWidth="1"/>
    <col min="6701" max="6701" width="1.109375" style="105" customWidth="1"/>
    <col min="6702" max="6702" width="3.33203125" style="105" customWidth="1"/>
    <col min="6703" max="6703" width="1.109375" style="105" customWidth="1"/>
    <col min="6704" max="6704" width="2.21875" style="105" customWidth="1"/>
    <col min="6705" max="6706" width="3.33203125" style="105" customWidth="1"/>
    <col min="6707" max="6707" width="2.21875" style="105" customWidth="1"/>
    <col min="6708" max="6708" width="1.109375" style="105" customWidth="1"/>
    <col min="6709" max="6709" width="3.33203125" style="105" customWidth="1"/>
    <col min="6710" max="6710" width="1.109375" style="105" customWidth="1"/>
    <col min="6711" max="6711" width="0.21875" style="105" customWidth="1"/>
    <col min="6712" max="6712" width="2" style="105" customWidth="1"/>
    <col min="6713" max="6714" width="3.33203125" style="105" customWidth="1"/>
    <col min="6715" max="6715" width="2.21875" style="105" customWidth="1"/>
    <col min="6716" max="6716" width="1.109375" style="105" customWidth="1"/>
    <col min="6717" max="6717" width="4.44140625" style="105" customWidth="1"/>
    <col min="6718" max="6759" width="11.109375" style="105" customWidth="1"/>
    <col min="6760" max="6912" width="8.88671875" style="105"/>
    <col min="6913" max="6913" width="3.33203125" style="105" customWidth="1"/>
    <col min="6914" max="6914" width="2.21875" style="105" customWidth="1"/>
    <col min="6915" max="6915" width="1.109375" style="105" customWidth="1"/>
    <col min="6916" max="6916" width="3.33203125" style="105" customWidth="1"/>
    <col min="6917" max="6917" width="1.109375" style="105" customWidth="1"/>
    <col min="6918" max="6918" width="2.21875" style="105" customWidth="1"/>
    <col min="6919" max="6920" width="3.33203125" style="105" customWidth="1"/>
    <col min="6921" max="6921" width="2.21875" style="105" customWidth="1"/>
    <col min="6922" max="6922" width="1.109375" style="105" customWidth="1"/>
    <col min="6923" max="6923" width="3.33203125" style="105" customWidth="1"/>
    <col min="6924" max="6924" width="1.109375" style="105" customWidth="1"/>
    <col min="6925" max="6925" width="2.21875" style="105" customWidth="1"/>
    <col min="6926" max="6927" width="3.33203125" style="105" customWidth="1"/>
    <col min="6928" max="6928" width="2.21875" style="105" customWidth="1"/>
    <col min="6929" max="6929" width="1.109375" style="105" customWidth="1"/>
    <col min="6930" max="6930" width="3.33203125" style="105" customWidth="1"/>
    <col min="6931" max="6931" width="1.109375" style="105" customWidth="1"/>
    <col min="6932" max="6932" width="2.21875" style="105" customWidth="1"/>
    <col min="6933" max="6934" width="3.33203125" style="105" customWidth="1"/>
    <col min="6935" max="6935" width="2.21875" style="105" customWidth="1"/>
    <col min="6936" max="6936" width="1.109375" style="105" customWidth="1"/>
    <col min="6937" max="6937" width="3.33203125" style="105" customWidth="1"/>
    <col min="6938" max="6938" width="1.109375" style="105" customWidth="1"/>
    <col min="6939" max="6939" width="2.21875" style="105" customWidth="1"/>
    <col min="6940" max="6941" width="3.33203125" style="105" customWidth="1"/>
    <col min="6942" max="6942" width="2.21875" style="105" customWidth="1"/>
    <col min="6943" max="6943" width="1.109375" style="105" customWidth="1"/>
    <col min="6944" max="6944" width="3.33203125" style="105" customWidth="1"/>
    <col min="6945" max="6945" width="1.109375" style="105" customWidth="1"/>
    <col min="6946" max="6946" width="2.21875" style="105" customWidth="1"/>
    <col min="6947" max="6948" width="3.33203125" style="105" customWidth="1"/>
    <col min="6949" max="6949" width="2.21875" style="105" customWidth="1"/>
    <col min="6950" max="6950" width="1.109375" style="105" customWidth="1"/>
    <col min="6951" max="6951" width="3.33203125" style="105" customWidth="1"/>
    <col min="6952" max="6952" width="1.109375" style="105" customWidth="1"/>
    <col min="6953" max="6953" width="2.21875" style="105" customWidth="1"/>
    <col min="6954" max="6955" width="3.33203125" style="105" customWidth="1"/>
    <col min="6956" max="6956" width="2.21875" style="105" customWidth="1"/>
    <col min="6957" max="6957" width="1.109375" style="105" customWidth="1"/>
    <col min="6958" max="6958" width="3.33203125" style="105" customWidth="1"/>
    <col min="6959" max="6959" width="1.109375" style="105" customWidth="1"/>
    <col min="6960" max="6960" width="2.21875" style="105" customWidth="1"/>
    <col min="6961" max="6962" width="3.33203125" style="105" customWidth="1"/>
    <col min="6963" max="6963" width="2.21875" style="105" customWidth="1"/>
    <col min="6964" max="6964" width="1.109375" style="105" customWidth="1"/>
    <col min="6965" max="6965" width="3.33203125" style="105" customWidth="1"/>
    <col min="6966" max="6966" width="1.109375" style="105" customWidth="1"/>
    <col min="6967" max="6967" width="0.21875" style="105" customWidth="1"/>
    <col min="6968" max="6968" width="2" style="105" customWidth="1"/>
    <col min="6969" max="6970" width="3.33203125" style="105" customWidth="1"/>
    <col min="6971" max="6971" width="2.21875" style="105" customWidth="1"/>
    <col min="6972" max="6972" width="1.109375" style="105" customWidth="1"/>
    <col min="6973" max="6973" width="4.44140625" style="105" customWidth="1"/>
    <col min="6974" max="7015" width="11.109375" style="105" customWidth="1"/>
    <col min="7016" max="7168" width="8.88671875" style="105"/>
    <col min="7169" max="7169" width="3.33203125" style="105" customWidth="1"/>
    <col min="7170" max="7170" width="2.21875" style="105" customWidth="1"/>
    <col min="7171" max="7171" width="1.109375" style="105" customWidth="1"/>
    <col min="7172" max="7172" width="3.33203125" style="105" customWidth="1"/>
    <col min="7173" max="7173" width="1.109375" style="105" customWidth="1"/>
    <col min="7174" max="7174" width="2.21875" style="105" customWidth="1"/>
    <col min="7175" max="7176" width="3.33203125" style="105" customWidth="1"/>
    <col min="7177" max="7177" width="2.21875" style="105" customWidth="1"/>
    <col min="7178" max="7178" width="1.109375" style="105" customWidth="1"/>
    <col min="7179" max="7179" width="3.33203125" style="105" customWidth="1"/>
    <col min="7180" max="7180" width="1.109375" style="105" customWidth="1"/>
    <col min="7181" max="7181" width="2.21875" style="105" customWidth="1"/>
    <col min="7182" max="7183" width="3.33203125" style="105" customWidth="1"/>
    <col min="7184" max="7184" width="2.21875" style="105" customWidth="1"/>
    <col min="7185" max="7185" width="1.109375" style="105" customWidth="1"/>
    <col min="7186" max="7186" width="3.33203125" style="105" customWidth="1"/>
    <col min="7187" max="7187" width="1.109375" style="105" customWidth="1"/>
    <col min="7188" max="7188" width="2.21875" style="105" customWidth="1"/>
    <col min="7189" max="7190" width="3.33203125" style="105" customWidth="1"/>
    <col min="7191" max="7191" width="2.21875" style="105" customWidth="1"/>
    <col min="7192" max="7192" width="1.109375" style="105" customWidth="1"/>
    <col min="7193" max="7193" width="3.33203125" style="105" customWidth="1"/>
    <col min="7194" max="7194" width="1.109375" style="105" customWidth="1"/>
    <col min="7195" max="7195" width="2.21875" style="105" customWidth="1"/>
    <col min="7196" max="7197" width="3.33203125" style="105" customWidth="1"/>
    <col min="7198" max="7198" width="2.21875" style="105" customWidth="1"/>
    <col min="7199" max="7199" width="1.109375" style="105" customWidth="1"/>
    <col min="7200" max="7200" width="3.33203125" style="105" customWidth="1"/>
    <col min="7201" max="7201" width="1.109375" style="105" customWidth="1"/>
    <col min="7202" max="7202" width="2.21875" style="105" customWidth="1"/>
    <col min="7203" max="7204" width="3.33203125" style="105" customWidth="1"/>
    <col min="7205" max="7205" width="2.21875" style="105" customWidth="1"/>
    <col min="7206" max="7206" width="1.109375" style="105" customWidth="1"/>
    <col min="7207" max="7207" width="3.33203125" style="105" customWidth="1"/>
    <col min="7208" max="7208" width="1.109375" style="105" customWidth="1"/>
    <col min="7209" max="7209" width="2.21875" style="105" customWidth="1"/>
    <col min="7210" max="7211" width="3.33203125" style="105" customWidth="1"/>
    <col min="7212" max="7212" width="2.21875" style="105" customWidth="1"/>
    <col min="7213" max="7213" width="1.109375" style="105" customWidth="1"/>
    <col min="7214" max="7214" width="3.33203125" style="105" customWidth="1"/>
    <col min="7215" max="7215" width="1.109375" style="105" customWidth="1"/>
    <col min="7216" max="7216" width="2.21875" style="105" customWidth="1"/>
    <col min="7217" max="7218" width="3.33203125" style="105" customWidth="1"/>
    <col min="7219" max="7219" width="2.21875" style="105" customWidth="1"/>
    <col min="7220" max="7220" width="1.109375" style="105" customWidth="1"/>
    <col min="7221" max="7221" width="3.33203125" style="105" customWidth="1"/>
    <col min="7222" max="7222" width="1.109375" style="105" customWidth="1"/>
    <col min="7223" max="7223" width="0.21875" style="105" customWidth="1"/>
    <col min="7224" max="7224" width="2" style="105" customWidth="1"/>
    <col min="7225" max="7226" width="3.33203125" style="105" customWidth="1"/>
    <col min="7227" max="7227" width="2.21875" style="105" customWidth="1"/>
    <col min="7228" max="7228" width="1.109375" style="105" customWidth="1"/>
    <col min="7229" max="7229" width="4.44140625" style="105" customWidth="1"/>
    <col min="7230" max="7271" width="11.109375" style="105" customWidth="1"/>
    <col min="7272" max="7424" width="8.88671875" style="105"/>
    <col min="7425" max="7425" width="3.33203125" style="105" customWidth="1"/>
    <col min="7426" max="7426" width="2.21875" style="105" customWidth="1"/>
    <col min="7427" max="7427" width="1.109375" style="105" customWidth="1"/>
    <col min="7428" max="7428" width="3.33203125" style="105" customWidth="1"/>
    <col min="7429" max="7429" width="1.109375" style="105" customWidth="1"/>
    <col min="7430" max="7430" width="2.21875" style="105" customWidth="1"/>
    <col min="7431" max="7432" width="3.33203125" style="105" customWidth="1"/>
    <col min="7433" max="7433" width="2.21875" style="105" customWidth="1"/>
    <col min="7434" max="7434" width="1.109375" style="105" customWidth="1"/>
    <col min="7435" max="7435" width="3.33203125" style="105" customWidth="1"/>
    <col min="7436" max="7436" width="1.109375" style="105" customWidth="1"/>
    <col min="7437" max="7437" width="2.21875" style="105" customWidth="1"/>
    <col min="7438" max="7439" width="3.33203125" style="105" customWidth="1"/>
    <col min="7440" max="7440" width="2.21875" style="105" customWidth="1"/>
    <col min="7441" max="7441" width="1.109375" style="105" customWidth="1"/>
    <col min="7442" max="7442" width="3.33203125" style="105" customWidth="1"/>
    <col min="7443" max="7443" width="1.109375" style="105" customWidth="1"/>
    <col min="7444" max="7444" width="2.21875" style="105" customWidth="1"/>
    <col min="7445" max="7446" width="3.33203125" style="105" customWidth="1"/>
    <col min="7447" max="7447" width="2.21875" style="105" customWidth="1"/>
    <col min="7448" max="7448" width="1.109375" style="105" customWidth="1"/>
    <col min="7449" max="7449" width="3.33203125" style="105" customWidth="1"/>
    <col min="7450" max="7450" width="1.109375" style="105" customWidth="1"/>
    <col min="7451" max="7451" width="2.21875" style="105" customWidth="1"/>
    <col min="7452" max="7453" width="3.33203125" style="105" customWidth="1"/>
    <col min="7454" max="7454" width="2.21875" style="105" customWidth="1"/>
    <col min="7455" max="7455" width="1.109375" style="105" customWidth="1"/>
    <col min="7456" max="7456" width="3.33203125" style="105" customWidth="1"/>
    <col min="7457" max="7457" width="1.109375" style="105" customWidth="1"/>
    <col min="7458" max="7458" width="2.21875" style="105" customWidth="1"/>
    <col min="7459" max="7460" width="3.33203125" style="105" customWidth="1"/>
    <col min="7461" max="7461" width="2.21875" style="105" customWidth="1"/>
    <col min="7462" max="7462" width="1.109375" style="105" customWidth="1"/>
    <col min="7463" max="7463" width="3.33203125" style="105" customWidth="1"/>
    <col min="7464" max="7464" width="1.109375" style="105" customWidth="1"/>
    <col min="7465" max="7465" width="2.21875" style="105" customWidth="1"/>
    <col min="7466" max="7467" width="3.33203125" style="105" customWidth="1"/>
    <col min="7468" max="7468" width="2.21875" style="105" customWidth="1"/>
    <col min="7469" max="7469" width="1.109375" style="105" customWidth="1"/>
    <col min="7470" max="7470" width="3.33203125" style="105" customWidth="1"/>
    <col min="7471" max="7471" width="1.109375" style="105" customWidth="1"/>
    <col min="7472" max="7472" width="2.21875" style="105" customWidth="1"/>
    <col min="7473" max="7474" width="3.33203125" style="105" customWidth="1"/>
    <col min="7475" max="7475" width="2.21875" style="105" customWidth="1"/>
    <col min="7476" max="7476" width="1.109375" style="105" customWidth="1"/>
    <col min="7477" max="7477" width="3.33203125" style="105" customWidth="1"/>
    <col min="7478" max="7478" width="1.109375" style="105" customWidth="1"/>
    <col min="7479" max="7479" width="0.21875" style="105" customWidth="1"/>
    <col min="7480" max="7480" width="2" style="105" customWidth="1"/>
    <col min="7481" max="7482" width="3.33203125" style="105" customWidth="1"/>
    <col min="7483" max="7483" width="2.21875" style="105" customWidth="1"/>
    <col min="7484" max="7484" width="1.109375" style="105" customWidth="1"/>
    <col min="7485" max="7485" width="4.44140625" style="105" customWidth="1"/>
    <col min="7486" max="7527" width="11.109375" style="105" customWidth="1"/>
    <col min="7528" max="7680" width="8.88671875" style="105"/>
    <col min="7681" max="7681" width="3.33203125" style="105" customWidth="1"/>
    <col min="7682" max="7682" width="2.21875" style="105" customWidth="1"/>
    <col min="7683" max="7683" width="1.109375" style="105" customWidth="1"/>
    <col min="7684" max="7684" width="3.33203125" style="105" customWidth="1"/>
    <col min="7685" max="7685" width="1.109375" style="105" customWidth="1"/>
    <col min="7686" max="7686" width="2.21875" style="105" customWidth="1"/>
    <col min="7687" max="7688" width="3.33203125" style="105" customWidth="1"/>
    <col min="7689" max="7689" width="2.21875" style="105" customWidth="1"/>
    <col min="7690" max="7690" width="1.109375" style="105" customWidth="1"/>
    <col min="7691" max="7691" width="3.33203125" style="105" customWidth="1"/>
    <col min="7692" max="7692" width="1.109375" style="105" customWidth="1"/>
    <col min="7693" max="7693" width="2.21875" style="105" customWidth="1"/>
    <col min="7694" max="7695" width="3.33203125" style="105" customWidth="1"/>
    <col min="7696" max="7696" width="2.21875" style="105" customWidth="1"/>
    <col min="7697" max="7697" width="1.109375" style="105" customWidth="1"/>
    <col min="7698" max="7698" width="3.33203125" style="105" customWidth="1"/>
    <col min="7699" max="7699" width="1.109375" style="105" customWidth="1"/>
    <col min="7700" max="7700" width="2.21875" style="105" customWidth="1"/>
    <col min="7701" max="7702" width="3.33203125" style="105" customWidth="1"/>
    <col min="7703" max="7703" width="2.21875" style="105" customWidth="1"/>
    <col min="7704" max="7704" width="1.109375" style="105" customWidth="1"/>
    <col min="7705" max="7705" width="3.33203125" style="105" customWidth="1"/>
    <col min="7706" max="7706" width="1.109375" style="105" customWidth="1"/>
    <col min="7707" max="7707" width="2.21875" style="105" customWidth="1"/>
    <col min="7708" max="7709" width="3.33203125" style="105" customWidth="1"/>
    <col min="7710" max="7710" width="2.21875" style="105" customWidth="1"/>
    <col min="7711" max="7711" width="1.109375" style="105" customWidth="1"/>
    <col min="7712" max="7712" width="3.33203125" style="105" customWidth="1"/>
    <col min="7713" max="7713" width="1.109375" style="105" customWidth="1"/>
    <col min="7714" max="7714" width="2.21875" style="105" customWidth="1"/>
    <col min="7715" max="7716" width="3.33203125" style="105" customWidth="1"/>
    <col min="7717" max="7717" width="2.21875" style="105" customWidth="1"/>
    <col min="7718" max="7718" width="1.109375" style="105" customWidth="1"/>
    <col min="7719" max="7719" width="3.33203125" style="105" customWidth="1"/>
    <col min="7720" max="7720" width="1.109375" style="105" customWidth="1"/>
    <col min="7721" max="7721" width="2.21875" style="105" customWidth="1"/>
    <col min="7722" max="7723" width="3.33203125" style="105" customWidth="1"/>
    <col min="7724" max="7724" width="2.21875" style="105" customWidth="1"/>
    <col min="7725" max="7725" width="1.109375" style="105" customWidth="1"/>
    <col min="7726" max="7726" width="3.33203125" style="105" customWidth="1"/>
    <col min="7727" max="7727" width="1.109375" style="105" customWidth="1"/>
    <col min="7728" max="7728" width="2.21875" style="105" customWidth="1"/>
    <col min="7729" max="7730" width="3.33203125" style="105" customWidth="1"/>
    <col min="7731" max="7731" width="2.21875" style="105" customWidth="1"/>
    <col min="7732" max="7732" width="1.109375" style="105" customWidth="1"/>
    <col min="7733" max="7733" width="3.33203125" style="105" customWidth="1"/>
    <col min="7734" max="7734" width="1.109375" style="105" customWidth="1"/>
    <col min="7735" max="7735" width="0.21875" style="105" customWidth="1"/>
    <col min="7736" max="7736" width="2" style="105" customWidth="1"/>
    <col min="7737" max="7738" width="3.33203125" style="105" customWidth="1"/>
    <col min="7739" max="7739" width="2.21875" style="105" customWidth="1"/>
    <col min="7740" max="7740" width="1.109375" style="105" customWidth="1"/>
    <col min="7741" max="7741" width="4.44140625" style="105" customWidth="1"/>
    <col min="7742" max="7783" width="11.109375" style="105" customWidth="1"/>
    <col min="7784" max="7936" width="8.88671875" style="105"/>
    <col min="7937" max="7937" width="3.33203125" style="105" customWidth="1"/>
    <col min="7938" max="7938" width="2.21875" style="105" customWidth="1"/>
    <col min="7939" max="7939" width="1.109375" style="105" customWidth="1"/>
    <col min="7940" max="7940" width="3.33203125" style="105" customWidth="1"/>
    <col min="7941" max="7941" width="1.109375" style="105" customWidth="1"/>
    <col min="7942" max="7942" width="2.21875" style="105" customWidth="1"/>
    <col min="7943" max="7944" width="3.33203125" style="105" customWidth="1"/>
    <col min="7945" max="7945" width="2.21875" style="105" customWidth="1"/>
    <col min="7946" max="7946" width="1.109375" style="105" customWidth="1"/>
    <col min="7947" max="7947" width="3.33203125" style="105" customWidth="1"/>
    <col min="7948" max="7948" width="1.109375" style="105" customWidth="1"/>
    <col min="7949" max="7949" width="2.21875" style="105" customWidth="1"/>
    <col min="7950" max="7951" width="3.33203125" style="105" customWidth="1"/>
    <col min="7952" max="7952" width="2.21875" style="105" customWidth="1"/>
    <col min="7953" max="7953" width="1.109375" style="105" customWidth="1"/>
    <col min="7954" max="7954" width="3.33203125" style="105" customWidth="1"/>
    <col min="7955" max="7955" width="1.109375" style="105" customWidth="1"/>
    <col min="7956" max="7956" width="2.21875" style="105" customWidth="1"/>
    <col min="7957" max="7958" width="3.33203125" style="105" customWidth="1"/>
    <col min="7959" max="7959" width="2.21875" style="105" customWidth="1"/>
    <col min="7960" max="7960" width="1.109375" style="105" customWidth="1"/>
    <col min="7961" max="7961" width="3.33203125" style="105" customWidth="1"/>
    <col min="7962" max="7962" width="1.109375" style="105" customWidth="1"/>
    <col min="7963" max="7963" width="2.21875" style="105" customWidth="1"/>
    <col min="7964" max="7965" width="3.33203125" style="105" customWidth="1"/>
    <col min="7966" max="7966" width="2.21875" style="105" customWidth="1"/>
    <col min="7967" max="7967" width="1.109375" style="105" customWidth="1"/>
    <col min="7968" max="7968" width="3.33203125" style="105" customWidth="1"/>
    <col min="7969" max="7969" width="1.109375" style="105" customWidth="1"/>
    <col min="7970" max="7970" width="2.21875" style="105" customWidth="1"/>
    <col min="7971" max="7972" width="3.33203125" style="105" customWidth="1"/>
    <col min="7973" max="7973" width="2.21875" style="105" customWidth="1"/>
    <col min="7974" max="7974" width="1.109375" style="105" customWidth="1"/>
    <col min="7975" max="7975" width="3.33203125" style="105" customWidth="1"/>
    <col min="7976" max="7976" width="1.109375" style="105" customWidth="1"/>
    <col min="7977" max="7977" width="2.21875" style="105" customWidth="1"/>
    <col min="7978" max="7979" width="3.33203125" style="105" customWidth="1"/>
    <col min="7980" max="7980" width="2.21875" style="105" customWidth="1"/>
    <col min="7981" max="7981" width="1.109375" style="105" customWidth="1"/>
    <col min="7982" max="7982" width="3.33203125" style="105" customWidth="1"/>
    <col min="7983" max="7983" width="1.109375" style="105" customWidth="1"/>
    <col min="7984" max="7984" width="2.21875" style="105" customWidth="1"/>
    <col min="7985" max="7986" width="3.33203125" style="105" customWidth="1"/>
    <col min="7987" max="7987" width="2.21875" style="105" customWidth="1"/>
    <col min="7988" max="7988" width="1.109375" style="105" customWidth="1"/>
    <col min="7989" max="7989" width="3.33203125" style="105" customWidth="1"/>
    <col min="7990" max="7990" width="1.109375" style="105" customWidth="1"/>
    <col min="7991" max="7991" width="0.21875" style="105" customWidth="1"/>
    <col min="7992" max="7992" width="2" style="105" customWidth="1"/>
    <col min="7993" max="7994" width="3.33203125" style="105" customWidth="1"/>
    <col min="7995" max="7995" width="2.21875" style="105" customWidth="1"/>
    <col min="7996" max="7996" width="1.109375" style="105" customWidth="1"/>
    <col min="7997" max="7997" width="4.44140625" style="105" customWidth="1"/>
    <col min="7998" max="8039" width="11.109375" style="105" customWidth="1"/>
    <col min="8040" max="8192" width="8.88671875" style="105"/>
    <col min="8193" max="8193" width="3.33203125" style="105" customWidth="1"/>
    <col min="8194" max="8194" width="2.21875" style="105" customWidth="1"/>
    <col min="8195" max="8195" width="1.109375" style="105" customWidth="1"/>
    <col min="8196" max="8196" width="3.33203125" style="105" customWidth="1"/>
    <col min="8197" max="8197" width="1.109375" style="105" customWidth="1"/>
    <col min="8198" max="8198" width="2.21875" style="105" customWidth="1"/>
    <col min="8199" max="8200" width="3.33203125" style="105" customWidth="1"/>
    <col min="8201" max="8201" width="2.21875" style="105" customWidth="1"/>
    <col min="8202" max="8202" width="1.109375" style="105" customWidth="1"/>
    <col min="8203" max="8203" width="3.33203125" style="105" customWidth="1"/>
    <col min="8204" max="8204" width="1.109375" style="105" customWidth="1"/>
    <col min="8205" max="8205" width="2.21875" style="105" customWidth="1"/>
    <col min="8206" max="8207" width="3.33203125" style="105" customWidth="1"/>
    <col min="8208" max="8208" width="2.21875" style="105" customWidth="1"/>
    <col min="8209" max="8209" width="1.109375" style="105" customWidth="1"/>
    <col min="8210" max="8210" width="3.33203125" style="105" customWidth="1"/>
    <col min="8211" max="8211" width="1.109375" style="105" customWidth="1"/>
    <col min="8212" max="8212" width="2.21875" style="105" customWidth="1"/>
    <col min="8213" max="8214" width="3.33203125" style="105" customWidth="1"/>
    <col min="8215" max="8215" width="2.21875" style="105" customWidth="1"/>
    <col min="8216" max="8216" width="1.109375" style="105" customWidth="1"/>
    <col min="8217" max="8217" width="3.33203125" style="105" customWidth="1"/>
    <col min="8218" max="8218" width="1.109375" style="105" customWidth="1"/>
    <col min="8219" max="8219" width="2.21875" style="105" customWidth="1"/>
    <col min="8220" max="8221" width="3.33203125" style="105" customWidth="1"/>
    <col min="8222" max="8222" width="2.21875" style="105" customWidth="1"/>
    <col min="8223" max="8223" width="1.109375" style="105" customWidth="1"/>
    <col min="8224" max="8224" width="3.33203125" style="105" customWidth="1"/>
    <col min="8225" max="8225" width="1.109375" style="105" customWidth="1"/>
    <col min="8226" max="8226" width="2.21875" style="105" customWidth="1"/>
    <col min="8227" max="8228" width="3.33203125" style="105" customWidth="1"/>
    <col min="8229" max="8229" width="2.21875" style="105" customWidth="1"/>
    <col min="8230" max="8230" width="1.109375" style="105" customWidth="1"/>
    <col min="8231" max="8231" width="3.33203125" style="105" customWidth="1"/>
    <col min="8232" max="8232" width="1.109375" style="105" customWidth="1"/>
    <col min="8233" max="8233" width="2.21875" style="105" customWidth="1"/>
    <col min="8234" max="8235" width="3.33203125" style="105" customWidth="1"/>
    <col min="8236" max="8236" width="2.21875" style="105" customWidth="1"/>
    <col min="8237" max="8237" width="1.109375" style="105" customWidth="1"/>
    <col min="8238" max="8238" width="3.33203125" style="105" customWidth="1"/>
    <col min="8239" max="8239" width="1.109375" style="105" customWidth="1"/>
    <col min="8240" max="8240" width="2.21875" style="105" customWidth="1"/>
    <col min="8241" max="8242" width="3.33203125" style="105" customWidth="1"/>
    <col min="8243" max="8243" width="2.21875" style="105" customWidth="1"/>
    <col min="8244" max="8244" width="1.109375" style="105" customWidth="1"/>
    <col min="8245" max="8245" width="3.33203125" style="105" customWidth="1"/>
    <col min="8246" max="8246" width="1.109375" style="105" customWidth="1"/>
    <col min="8247" max="8247" width="0.21875" style="105" customWidth="1"/>
    <col min="8248" max="8248" width="2" style="105" customWidth="1"/>
    <col min="8249" max="8250" width="3.33203125" style="105" customWidth="1"/>
    <col min="8251" max="8251" width="2.21875" style="105" customWidth="1"/>
    <col min="8252" max="8252" width="1.109375" style="105" customWidth="1"/>
    <col min="8253" max="8253" width="4.44140625" style="105" customWidth="1"/>
    <col min="8254" max="8295" width="11.109375" style="105" customWidth="1"/>
    <col min="8296" max="8448" width="8.88671875" style="105"/>
    <col min="8449" max="8449" width="3.33203125" style="105" customWidth="1"/>
    <col min="8450" max="8450" width="2.21875" style="105" customWidth="1"/>
    <col min="8451" max="8451" width="1.109375" style="105" customWidth="1"/>
    <col min="8452" max="8452" width="3.33203125" style="105" customWidth="1"/>
    <col min="8453" max="8453" width="1.109375" style="105" customWidth="1"/>
    <col min="8454" max="8454" width="2.21875" style="105" customWidth="1"/>
    <col min="8455" max="8456" width="3.33203125" style="105" customWidth="1"/>
    <col min="8457" max="8457" width="2.21875" style="105" customWidth="1"/>
    <col min="8458" max="8458" width="1.109375" style="105" customWidth="1"/>
    <col min="8459" max="8459" width="3.33203125" style="105" customWidth="1"/>
    <col min="8460" max="8460" width="1.109375" style="105" customWidth="1"/>
    <col min="8461" max="8461" width="2.21875" style="105" customWidth="1"/>
    <col min="8462" max="8463" width="3.33203125" style="105" customWidth="1"/>
    <col min="8464" max="8464" width="2.21875" style="105" customWidth="1"/>
    <col min="8465" max="8465" width="1.109375" style="105" customWidth="1"/>
    <col min="8466" max="8466" width="3.33203125" style="105" customWidth="1"/>
    <col min="8467" max="8467" width="1.109375" style="105" customWidth="1"/>
    <col min="8468" max="8468" width="2.21875" style="105" customWidth="1"/>
    <col min="8469" max="8470" width="3.33203125" style="105" customWidth="1"/>
    <col min="8471" max="8471" width="2.21875" style="105" customWidth="1"/>
    <col min="8472" max="8472" width="1.109375" style="105" customWidth="1"/>
    <col min="8473" max="8473" width="3.33203125" style="105" customWidth="1"/>
    <col min="8474" max="8474" width="1.109375" style="105" customWidth="1"/>
    <col min="8475" max="8475" width="2.21875" style="105" customWidth="1"/>
    <col min="8476" max="8477" width="3.33203125" style="105" customWidth="1"/>
    <col min="8478" max="8478" width="2.21875" style="105" customWidth="1"/>
    <col min="8479" max="8479" width="1.109375" style="105" customWidth="1"/>
    <col min="8480" max="8480" width="3.33203125" style="105" customWidth="1"/>
    <col min="8481" max="8481" width="1.109375" style="105" customWidth="1"/>
    <col min="8482" max="8482" width="2.21875" style="105" customWidth="1"/>
    <col min="8483" max="8484" width="3.33203125" style="105" customWidth="1"/>
    <col min="8485" max="8485" width="2.21875" style="105" customWidth="1"/>
    <col min="8486" max="8486" width="1.109375" style="105" customWidth="1"/>
    <col min="8487" max="8487" width="3.33203125" style="105" customWidth="1"/>
    <col min="8488" max="8488" width="1.109375" style="105" customWidth="1"/>
    <col min="8489" max="8489" width="2.21875" style="105" customWidth="1"/>
    <col min="8490" max="8491" width="3.33203125" style="105" customWidth="1"/>
    <col min="8492" max="8492" width="2.21875" style="105" customWidth="1"/>
    <col min="8493" max="8493" width="1.109375" style="105" customWidth="1"/>
    <col min="8494" max="8494" width="3.33203125" style="105" customWidth="1"/>
    <col min="8495" max="8495" width="1.109375" style="105" customWidth="1"/>
    <col min="8496" max="8496" width="2.21875" style="105" customWidth="1"/>
    <col min="8497" max="8498" width="3.33203125" style="105" customWidth="1"/>
    <col min="8499" max="8499" width="2.21875" style="105" customWidth="1"/>
    <col min="8500" max="8500" width="1.109375" style="105" customWidth="1"/>
    <col min="8501" max="8501" width="3.33203125" style="105" customWidth="1"/>
    <col min="8502" max="8502" width="1.109375" style="105" customWidth="1"/>
    <col min="8503" max="8503" width="0.21875" style="105" customWidth="1"/>
    <col min="8504" max="8504" width="2" style="105" customWidth="1"/>
    <col min="8505" max="8506" width="3.33203125" style="105" customWidth="1"/>
    <col min="8507" max="8507" width="2.21875" style="105" customWidth="1"/>
    <col min="8508" max="8508" width="1.109375" style="105" customWidth="1"/>
    <col min="8509" max="8509" width="4.44140625" style="105" customWidth="1"/>
    <col min="8510" max="8551" width="11.109375" style="105" customWidth="1"/>
    <col min="8552" max="8704" width="8.88671875" style="105"/>
    <col min="8705" max="8705" width="3.33203125" style="105" customWidth="1"/>
    <col min="8706" max="8706" width="2.21875" style="105" customWidth="1"/>
    <col min="8707" max="8707" width="1.109375" style="105" customWidth="1"/>
    <col min="8708" max="8708" width="3.33203125" style="105" customWidth="1"/>
    <col min="8709" max="8709" width="1.109375" style="105" customWidth="1"/>
    <col min="8710" max="8710" width="2.21875" style="105" customWidth="1"/>
    <col min="8711" max="8712" width="3.33203125" style="105" customWidth="1"/>
    <col min="8713" max="8713" width="2.21875" style="105" customWidth="1"/>
    <col min="8714" max="8714" width="1.109375" style="105" customWidth="1"/>
    <col min="8715" max="8715" width="3.33203125" style="105" customWidth="1"/>
    <col min="8716" max="8716" width="1.109375" style="105" customWidth="1"/>
    <col min="8717" max="8717" width="2.21875" style="105" customWidth="1"/>
    <col min="8718" max="8719" width="3.33203125" style="105" customWidth="1"/>
    <col min="8720" max="8720" width="2.21875" style="105" customWidth="1"/>
    <col min="8721" max="8721" width="1.109375" style="105" customWidth="1"/>
    <col min="8722" max="8722" width="3.33203125" style="105" customWidth="1"/>
    <col min="8723" max="8723" width="1.109375" style="105" customWidth="1"/>
    <col min="8724" max="8724" width="2.21875" style="105" customWidth="1"/>
    <col min="8725" max="8726" width="3.33203125" style="105" customWidth="1"/>
    <col min="8727" max="8727" width="2.21875" style="105" customWidth="1"/>
    <col min="8728" max="8728" width="1.109375" style="105" customWidth="1"/>
    <col min="8729" max="8729" width="3.33203125" style="105" customWidth="1"/>
    <col min="8730" max="8730" width="1.109375" style="105" customWidth="1"/>
    <col min="8731" max="8731" width="2.21875" style="105" customWidth="1"/>
    <col min="8732" max="8733" width="3.33203125" style="105" customWidth="1"/>
    <col min="8734" max="8734" width="2.21875" style="105" customWidth="1"/>
    <col min="8735" max="8735" width="1.109375" style="105" customWidth="1"/>
    <col min="8736" max="8736" width="3.33203125" style="105" customWidth="1"/>
    <col min="8737" max="8737" width="1.109375" style="105" customWidth="1"/>
    <col min="8738" max="8738" width="2.21875" style="105" customWidth="1"/>
    <col min="8739" max="8740" width="3.33203125" style="105" customWidth="1"/>
    <col min="8741" max="8741" width="2.21875" style="105" customWidth="1"/>
    <col min="8742" max="8742" width="1.109375" style="105" customWidth="1"/>
    <col min="8743" max="8743" width="3.33203125" style="105" customWidth="1"/>
    <col min="8744" max="8744" width="1.109375" style="105" customWidth="1"/>
    <col min="8745" max="8745" width="2.21875" style="105" customWidth="1"/>
    <col min="8746" max="8747" width="3.33203125" style="105" customWidth="1"/>
    <col min="8748" max="8748" width="2.21875" style="105" customWidth="1"/>
    <col min="8749" max="8749" width="1.109375" style="105" customWidth="1"/>
    <col min="8750" max="8750" width="3.33203125" style="105" customWidth="1"/>
    <col min="8751" max="8751" width="1.109375" style="105" customWidth="1"/>
    <col min="8752" max="8752" width="2.21875" style="105" customWidth="1"/>
    <col min="8753" max="8754" width="3.33203125" style="105" customWidth="1"/>
    <col min="8755" max="8755" width="2.21875" style="105" customWidth="1"/>
    <col min="8756" max="8756" width="1.109375" style="105" customWidth="1"/>
    <col min="8757" max="8757" width="3.33203125" style="105" customWidth="1"/>
    <col min="8758" max="8758" width="1.109375" style="105" customWidth="1"/>
    <col min="8759" max="8759" width="0.21875" style="105" customWidth="1"/>
    <col min="8760" max="8760" width="2" style="105" customWidth="1"/>
    <col min="8761" max="8762" width="3.33203125" style="105" customWidth="1"/>
    <col min="8763" max="8763" width="2.21875" style="105" customWidth="1"/>
    <col min="8764" max="8764" width="1.109375" style="105" customWidth="1"/>
    <col min="8765" max="8765" width="4.44140625" style="105" customWidth="1"/>
    <col min="8766" max="8807" width="11.109375" style="105" customWidth="1"/>
    <col min="8808" max="8960" width="8.88671875" style="105"/>
    <col min="8961" max="8961" width="3.33203125" style="105" customWidth="1"/>
    <col min="8962" max="8962" width="2.21875" style="105" customWidth="1"/>
    <col min="8963" max="8963" width="1.109375" style="105" customWidth="1"/>
    <col min="8964" max="8964" width="3.33203125" style="105" customWidth="1"/>
    <col min="8965" max="8965" width="1.109375" style="105" customWidth="1"/>
    <col min="8966" max="8966" width="2.21875" style="105" customWidth="1"/>
    <col min="8967" max="8968" width="3.33203125" style="105" customWidth="1"/>
    <col min="8969" max="8969" width="2.21875" style="105" customWidth="1"/>
    <col min="8970" max="8970" width="1.109375" style="105" customWidth="1"/>
    <col min="8971" max="8971" width="3.33203125" style="105" customWidth="1"/>
    <col min="8972" max="8972" width="1.109375" style="105" customWidth="1"/>
    <col min="8973" max="8973" width="2.21875" style="105" customWidth="1"/>
    <col min="8974" max="8975" width="3.33203125" style="105" customWidth="1"/>
    <col min="8976" max="8976" width="2.21875" style="105" customWidth="1"/>
    <col min="8977" max="8977" width="1.109375" style="105" customWidth="1"/>
    <col min="8978" max="8978" width="3.33203125" style="105" customWidth="1"/>
    <col min="8979" max="8979" width="1.109375" style="105" customWidth="1"/>
    <col min="8980" max="8980" width="2.21875" style="105" customWidth="1"/>
    <col min="8981" max="8982" width="3.33203125" style="105" customWidth="1"/>
    <col min="8983" max="8983" width="2.21875" style="105" customWidth="1"/>
    <col min="8984" max="8984" width="1.109375" style="105" customWidth="1"/>
    <col min="8985" max="8985" width="3.33203125" style="105" customWidth="1"/>
    <col min="8986" max="8986" width="1.109375" style="105" customWidth="1"/>
    <col min="8987" max="8987" width="2.21875" style="105" customWidth="1"/>
    <col min="8988" max="8989" width="3.33203125" style="105" customWidth="1"/>
    <col min="8990" max="8990" width="2.21875" style="105" customWidth="1"/>
    <col min="8991" max="8991" width="1.109375" style="105" customWidth="1"/>
    <col min="8992" max="8992" width="3.33203125" style="105" customWidth="1"/>
    <col min="8993" max="8993" width="1.109375" style="105" customWidth="1"/>
    <col min="8994" max="8994" width="2.21875" style="105" customWidth="1"/>
    <col min="8995" max="8996" width="3.33203125" style="105" customWidth="1"/>
    <col min="8997" max="8997" width="2.21875" style="105" customWidth="1"/>
    <col min="8998" max="8998" width="1.109375" style="105" customWidth="1"/>
    <col min="8999" max="8999" width="3.33203125" style="105" customWidth="1"/>
    <col min="9000" max="9000" width="1.109375" style="105" customWidth="1"/>
    <col min="9001" max="9001" width="2.21875" style="105" customWidth="1"/>
    <col min="9002" max="9003" width="3.33203125" style="105" customWidth="1"/>
    <col min="9004" max="9004" width="2.21875" style="105" customWidth="1"/>
    <col min="9005" max="9005" width="1.109375" style="105" customWidth="1"/>
    <col min="9006" max="9006" width="3.33203125" style="105" customWidth="1"/>
    <col min="9007" max="9007" width="1.109375" style="105" customWidth="1"/>
    <col min="9008" max="9008" width="2.21875" style="105" customWidth="1"/>
    <col min="9009" max="9010" width="3.33203125" style="105" customWidth="1"/>
    <col min="9011" max="9011" width="2.21875" style="105" customWidth="1"/>
    <col min="9012" max="9012" width="1.109375" style="105" customWidth="1"/>
    <col min="9013" max="9013" width="3.33203125" style="105" customWidth="1"/>
    <col min="9014" max="9014" width="1.109375" style="105" customWidth="1"/>
    <col min="9015" max="9015" width="0.21875" style="105" customWidth="1"/>
    <col min="9016" max="9016" width="2" style="105" customWidth="1"/>
    <col min="9017" max="9018" width="3.33203125" style="105" customWidth="1"/>
    <col min="9019" max="9019" width="2.21875" style="105" customWidth="1"/>
    <col min="9020" max="9020" width="1.109375" style="105" customWidth="1"/>
    <col min="9021" max="9021" width="4.44140625" style="105" customWidth="1"/>
    <col min="9022" max="9063" width="11.109375" style="105" customWidth="1"/>
    <col min="9064" max="9216" width="8.88671875" style="105"/>
    <col min="9217" max="9217" width="3.33203125" style="105" customWidth="1"/>
    <col min="9218" max="9218" width="2.21875" style="105" customWidth="1"/>
    <col min="9219" max="9219" width="1.109375" style="105" customWidth="1"/>
    <col min="9220" max="9220" width="3.33203125" style="105" customWidth="1"/>
    <col min="9221" max="9221" width="1.109375" style="105" customWidth="1"/>
    <col min="9222" max="9222" width="2.21875" style="105" customWidth="1"/>
    <col min="9223" max="9224" width="3.33203125" style="105" customWidth="1"/>
    <col min="9225" max="9225" width="2.21875" style="105" customWidth="1"/>
    <col min="9226" max="9226" width="1.109375" style="105" customWidth="1"/>
    <col min="9227" max="9227" width="3.33203125" style="105" customWidth="1"/>
    <col min="9228" max="9228" width="1.109375" style="105" customWidth="1"/>
    <col min="9229" max="9229" width="2.21875" style="105" customWidth="1"/>
    <col min="9230" max="9231" width="3.33203125" style="105" customWidth="1"/>
    <col min="9232" max="9232" width="2.21875" style="105" customWidth="1"/>
    <col min="9233" max="9233" width="1.109375" style="105" customWidth="1"/>
    <col min="9234" max="9234" width="3.33203125" style="105" customWidth="1"/>
    <col min="9235" max="9235" width="1.109375" style="105" customWidth="1"/>
    <col min="9236" max="9236" width="2.21875" style="105" customWidth="1"/>
    <col min="9237" max="9238" width="3.33203125" style="105" customWidth="1"/>
    <col min="9239" max="9239" width="2.21875" style="105" customWidth="1"/>
    <col min="9240" max="9240" width="1.109375" style="105" customWidth="1"/>
    <col min="9241" max="9241" width="3.33203125" style="105" customWidth="1"/>
    <col min="9242" max="9242" width="1.109375" style="105" customWidth="1"/>
    <col min="9243" max="9243" width="2.21875" style="105" customWidth="1"/>
    <col min="9244" max="9245" width="3.33203125" style="105" customWidth="1"/>
    <col min="9246" max="9246" width="2.21875" style="105" customWidth="1"/>
    <col min="9247" max="9247" width="1.109375" style="105" customWidth="1"/>
    <col min="9248" max="9248" width="3.33203125" style="105" customWidth="1"/>
    <col min="9249" max="9249" width="1.109375" style="105" customWidth="1"/>
    <col min="9250" max="9250" width="2.21875" style="105" customWidth="1"/>
    <col min="9251" max="9252" width="3.33203125" style="105" customWidth="1"/>
    <col min="9253" max="9253" width="2.21875" style="105" customWidth="1"/>
    <col min="9254" max="9254" width="1.109375" style="105" customWidth="1"/>
    <col min="9255" max="9255" width="3.33203125" style="105" customWidth="1"/>
    <col min="9256" max="9256" width="1.109375" style="105" customWidth="1"/>
    <col min="9257" max="9257" width="2.21875" style="105" customWidth="1"/>
    <col min="9258" max="9259" width="3.33203125" style="105" customWidth="1"/>
    <col min="9260" max="9260" width="2.21875" style="105" customWidth="1"/>
    <col min="9261" max="9261" width="1.109375" style="105" customWidth="1"/>
    <col min="9262" max="9262" width="3.33203125" style="105" customWidth="1"/>
    <col min="9263" max="9263" width="1.109375" style="105" customWidth="1"/>
    <col min="9264" max="9264" width="2.21875" style="105" customWidth="1"/>
    <col min="9265" max="9266" width="3.33203125" style="105" customWidth="1"/>
    <col min="9267" max="9267" width="2.21875" style="105" customWidth="1"/>
    <col min="9268" max="9268" width="1.109375" style="105" customWidth="1"/>
    <col min="9269" max="9269" width="3.33203125" style="105" customWidth="1"/>
    <col min="9270" max="9270" width="1.109375" style="105" customWidth="1"/>
    <col min="9271" max="9271" width="0.21875" style="105" customWidth="1"/>
    <col min="9272" max="9272" width="2" style="105" customWidth="1"/>
    <col min="9273" max="9274" width="3.33203125" style="105" customWidth="1"/>
    <col min="9275" max="9275" width="2.21875" style="105" customWidth="1"/>
    <col min="9276" max="9276" width="1.109375" style="105" customWidth="1"/>
    <col min="9277" max="9277" width="4.44140625" style="105" customWidth="1"/>
    <col min="9278" max="9319" width="11.109375" style="105" customWidth="1"/>
    <col min="9320" max="9472" width="8.88671875" style="105"/>
    <col min="9473" max="9473" width="3.33203125" style="105" customWidth="1"/>
    <col min="9474" max="9474" width="2.21875" style="105" customWidth="1"/>
    <col min="9475" max="9475" width="1.109375" style="105" customWidth="1"/>
    <col min="9476" max="9476" width="3.33203125" style="105" customWidth="1"/>
    <col min="9477" max="9477" width="1.109375" style="105" customWidth="1"/>
    <col min="9478" max="9478" width="2.21875" style="105" customWidth="1"/>
    <col min="9479" max="9480" width="3.33203125" style="105" customWidth="1"/>
    <col min="9481" max="9481" width="2.21875" style="105" customWidth="1"/>
    <col min="9482" max="9482" width="1.109375" style="105" customWidth="1"/>
    <col min="9483" max="9483" width="3.33203125" style="105" customWidth="1"/>
    <col min="9484" max="9484" width="1.109375" style="105" customWidth="1"/>
    <col min="9485" max="9485" width="2.21875" style="105" customWidth="1"/>
    <col min="9486" max="9487" width="3.33203125" style="105" customWidth="1"/>
    <col min="9488" max="9488" width="2.21875" style="105" customWidth="1"/>
    <col min="9489" max="9489" width="1.109375" style="105" customWidth="1"/>
    <col min="9490" max="9490" width="3.33203125" style="105" customWidth="1"/>
    <col min="9491" max="9491" width="1.109375" style="105" customWidth="1"/>
    <col min="9492" max="9492" width="2.21875" style="105" customWidth="1"/>
    <col min="9493" max="9494" width="3.33203125" style="105" customWidth="1"/>
    <col min="9495" max="9495" width="2.21875" style="105" customWidth="1"/>
    <col min="9496" max="9496" width="1.109375" style="105" customWidth="1"/>
    <col min="9497" max="9497" width="3.33203125" style="105" customWidth="1"/>
    <col min="9498" max="9498" width="1.109375" style="105" customWidth="1"/>
    <col min="9499" max="9499" width="2.21875" style="105" customWidth="1"/>
    <col min="9500" max="9501" width="3.33203125" style="105" customWidth="1"/>
    <col min="9502" max="9502" width="2.21875" style="105" customWidth="1"/>
    <col min="9503" max="9503" width="1.109375" style="105" customWidth="1"/>
    <col min="9504" max="9504" width="3.33203125" style="105" customWidth="1"/>
    <col min="9505" max="9505" width="1.109375" style="105" customWidth="1"/>
    <col min="9506" max="9506" width="2.21875" style="105" customWidth="1"/>
    <col min="9507" max="9508" width="3.33203125" style="105" customWidth="1"/>
    <col min="9509" max="9509" width="2.21875" style="105" customWidth="1"/>
    <col min="9510" max="9510" width="1.109375" style="105" customWidth="1"/>
    <col min="9511" max="9511" width="3.33203125" style="105" customWidth="1"/>
    <col min="9512" max="9512" width="1.109375" style="105" customWidth="1"/>
    <col min="9513" max="9513" width="2.21875" style="105" customWidth="1"/>
    <col min="9514" max="9515" width="3.33203125" style="105" customWidth="1"/>
    <col min="9516" max="9516" width="2.21875" style="105" customWidth="1"/>
    <col min="9517" max="9517" width="1.109375" style="105" customWidth="1"/>
    <col min="9518" max="9518" width="3.33203125" style="105" customWidth="1"/>
    <col min="9519" max="9519" width="1.109375" style="105" customWidth="1"/>
    <col min="9520" max="9520" width="2.21875" style="105" customWidth="1"/>
    <col min="9521" max="9522" width="3.33203125" style="105" customWidth="1"/>
    <col min="9523" max="9523" width="2.21875" style="105" customWidth="1"/>
    <col min="9524" max="9524" width="1.109375" style="105" customWidth="1"/>
    <col min="9525" max="9525" width="3.33203125" style="105" customWidth="1"/>
    <col min="9526" max="9526" width="1.109375" style="105" customWidth="1"/>
    <col min="9527" max="9527" width="0.21875" style="105" customWidth="1"/>
    <col min="9528" max="9528" width="2" style="105" customWidth="1"/>
    <col min="9529" max="9530" width="3.33203125" style="105" customWidth="1"/>
    <col min="9531" max="9531" width="2.21875" style="105" customWidth="1"/>
    <col min="9532" max="9532" width="1.109375" style="105" customWidth="1"/>
    <col min="9533" max="9533" width="4.44140625" style="105" customWidth="1"/>
    <col min="9534" max="9575" width="11.109375" style="105" customWidth="1"/>
    <col min="9576" max="9728" width="8.88671875" style="105"/>
    <col min="9729" max="9729" width="3.33203125" style="105" customWidth="1"/>
    <col min="9730" max="9730" width="2.21875" style="105" customWidth="1"/>
    <col min="9731" max="9731" width="1.109375" style="105" customWidth="1"/>
    <col min="9732" max="9732" width="3.33203125" style="105" customWidth="1"/>
    <col min="9733" max="9733" width="1.109375" style="105" customWidth="1"/>
    <col min="9734" max="9734" width="2.21875" style="105" customWidth="1"/>
    <col min="9735" max="9736" width="3.33203125" style="105" customWidth="1"/>
    <col min="9737" max="9737" width="2.21875" style="105" customWidth="1"/>
    <col min="9738" max="9738" width="1.109375" style="105" customWidth="1"/>
    <col min="9739" max="9739" width="3.33203125" style="105" customWidth="1"/>
    <col min="9740" max="9740" width="1.109375" style="105" customWidth="1"/>
    <col min="9741" max="9741" width="2.21875" style="105" customWidth="1"/>
    <col min="9742" max="9743" width="3.33203125" style="105" customWidth="1"/>
    <col min="9744" max="9744" width="2.21875" style="105" customWidth="1"/>
    <col min="9745" max="9745" width="1.109375" style="105" customWidth="1"/>
    <col min="9746" max="9746" width="3.33203125" style="105" customWidth="1"/>
    <col min="9747" max="9747" width="1.109375" style="105" customWidth="1"/>
    <col min="9748" max="9748" width="2.21875" style="105" customWidth="1"/>
    <col min="9749" max="9750" width="3.33203125" style="105" customWidth="1"/>
    <col min="9751" max="9751" width="2.21875" style="105" customWidth="1"/>
    <col min="9752" max="9752" width="1.109375" style="105" customWidth="1"/>
    <col min="9753" max="9753" width="3.33203125" style="105" customWidth="1"/>
    <col min="9754" max="9754" width="1.109375" style="105" customWidth="1"/>
    <col min="9755" max="9755" width="2.21875" style="105" customWidth="1"/>
    <col min="9756" max="9757" width="3.33203125" style="105" customWidth="1"/>
    <col min="9758" max="9758" width="2.21875" style="105" customWidth="1"/>
    <col min="9759" max="9759" width="1.109375" style="105" customWidth="1"/>
    <col min="9760" max="9760" width="3.33203125" style="105" customWidth="1"/>
    <col min="9761" max="9761" width="1.109375" style="105" customWidth="1"/>
    <col min="9762" max="9762" width="2.21875" style="105" customWidth="1"/>
    <col min="9763" max="9764" width="3.33203125" style="105" customWidth="1"/>
    <col min="9765" max="9765" width="2.21875" style="105" customWidth="1"/>
    <col min="9766" max="9766" width="1.109375" style="105" customWidth="1"/>
    <col min="9767" max="9767" width="3.33203125" style="105" customWidth="1"/>
    <col min="9768" max="9768" width="1.109375" style="105" customWidth="1"/>
    <col min="9769" max="9769" width="2.21875" style="105" customWidth="1"/>
    <col min="9770" max="9771" width="3.33203125" style="105" customWidth="1"/>
    <col min="9772" max="9772" width="2.21875" style="105" customWidth="1"/>
    <col min="9773" max="9773" width="1.109375" style="105" customWidth="1"/>
    <col min="9774" max="9774" width="3.33203125" style="105" customWidth="1"/>
    <col min="9775" max="9775" width="1.109375" style="105" customWidth="1"/>
    <col min="9776" max="9776" width="2.21875" style="105" customWidth="1"/>
    <col min="9777" max="9778" width="3.33203125" style="105" customWidth="1"/>
    <col min="9779" max="9779" width="2.21875" style="105" customWidth="1"/>
    <col min="9780" max="9780" width="1.109375" style="105" customWidth="1"/>
    <col min="9781" max="9781" width="3.33203125" style="105" customWidth="1"/>
    <col min="9782" max="9782" width="1.109375" style="105" customWidth="1"/>
    <col min="9783" max="9783" width="0.21875" style="105" customWidth="1"/>
    <col min="9784" max="9784" width="2" style="105" customWidth="1"/>
    <col min="9785" max="9786" width="3.33203125" style="105" customWidth="1"/>
    <col min="9787" max="9787" width="2.21875" style="105" customWidth="1"/>
    <col min="9788" max="9788" width="1.109375" style="105" customWidth="1"/>
    <col min="9789" max="9789" width="4.44140625" style="105" customWidth="1"/>
    <col min="9790" max="9831" width="11.109375" style="105" customWidth="1"/>
    <col min="9832" max="9984" width="8.88671875" style="105"/>
    <col min="9985" max="9985" width="3.33203125" style="105" customWidth="1"/>
    <col min="9986" max="9986" width="2.21875" style="105" customWidth="1"/>
    <col min="9987" max="9987" width="1.109375" style="105" customWidth="1"/>
    <col min="9988" max="9988" width="3.33203125" style="105" customWidth="1"/>
    <col min="9989" max="9989" width="1.109375" style="105" customWidth="1"/>
    <col min="9990" max="9990" width="2.21875" style="105" customWidth="1"/>
    <col min="9991" max="9992" width="3.33203125" style="105" customWidth="1"/>
    <col min="9993" max="9993" width="2.21875" style="105" customWidth="1"/>
    <col min="9994" max="9994" width="1.109375" style="105" customWidth="1"/>
    <col min="9995" max="9995" width="3.33203125" style="105" customWidth="1"/>
    <col min="9996" max="9996" width="1.109375" style="105" customWidth="1"/>
    <col min="9997" max="9997" width="2.21875" style="105" customWidth="1"/>
    <col min="9998" max="9999" width="3.33203125" style="105" customWidth="1"/>
    <col min="10000" max="10000" width="2.21875" style="105" customWidth="1"/>
    <col min="10001" max="10001" width="1.109375" style="105" customWidth="1"/>
    <col min="10002" max="10002" width="3.33203125" style="105" customWidth="1"/>
    <col min="10003" max="10003" width="1.109375" style="105" customWidth="1"/>
    <col min="10004" max="10004" width="2.21875" style="105" customWidth="1"/>
    <col min="10005" max="10006" width="3.33203125" style="105" customWidth="1"/>
    <col min="10007" max="10007" width="2.21875" style="105" customWidth="1"/>
    <col min="10008" max="10008" width="1.109375" style="105" customWidth="1"/>
    <col min="10009" max="10009" width="3.33203125" style="105" customWidth="1"/>
    <col min="10010" max="10010" width="1.109375" style="105" customWidth="1"/>
    <col min="10011" max="10011" width="2.21875" style="105" customWidth="1"/>
    <col min="10012" max="10013" width="3.33203125" style="105" customWidth="1"/>
    <col min="10014" max="10014" width="2.21875" style="105" customWidth="1"/>
    <col min="10015" max="10015" width="1.109375" style="105" customWidth="1"/>
    <col min="10016" max="10016" width="3.33203125" style="105" customWidth="1"/>
    <col min="10017" max="10017" width="1.109375" style="105" customWidth="1"/>
    <col min="10018" max="10018" width="2.21875" style="105" customWidth="1"/>
    <col min="10019" max="10020" width="3.33203125" style="105" customWidth="1"/>
    <col min="10021" max="10021" width="2.21875" style="105" customWidth="1"/>
    <col min="10022" max="10022" width="1.109375" style="105" customWidth="1"/>
    <col min="10023" max="10023" width="3.33203125" style="105" customWidth="1"/>
    <col min="10024" max="10024" width="1.109375" style="105" customWidth="1"/>
    <col min="10025" max="10025" width="2.21875" style="105" customWidth="1"/>
    <col min="10026" max="10027" width="3.33203125" style="105" customWidth="1"/>
    <col min="10028" max="10028" width="2.21875" style="105" customWidth="1"/>
    <col min="10029" max="10029" width="1.109375" style="105" customWidth="1"/>
    <col min="10030" max="10030" width="3.33203125" style="105" customWidth="1"/>
    <col min="10031" max="10031" width="1.109375" style="105" customWidth="1"/>
    <col min="10032" max="10032" width="2.21875" style="105" customWidth="1"/>
    <col min="10033" max="10034" width="3.33203125" style="105" customWidth="1"/>
    <col min="10035" max="10035" width="2.21875" style="105" customWidth="1"/>
    <col min="10036" max="10036" width="1.109375" style="105" customWidth="1"/>
    <col min="10037" max="10037" width="3.33203125" style="105" customWidth="1"/>
    <col min="10038" max="10038" width="1.109375" style="105" customWidth="1"/>
    <col min="10039" max="10039" width="0.21875" style="105" customWidth="1"/>
    <col min="10040" max="10040" width="2" style="105" customWidth="1"/>
    <col min="10041" max="10042" width="3.33203125" style="105" customWidth="1"/>
    <col min="10043" max="10043" width="2.21875" style="105" customWidth="1"/>
    <col min="10044" max="10044" width="1.109375" style="105" customWidth="1"/>
    <col min="10045" max="10045" width="4.44140625" style="105" customWidth="1"/>
    <col min="10046" max="10087" width="11.109375" style="105" customWidth="1"/>
    <col min="10088" max="10240" width="8.88671875" style="105"/>
    <col min="10241" max="10241" width="3.33203125" style="105" customWidth="1"/>
    <col min="10242" max="10242" width="2.21875" style="105" customWidth="1"/>
    <col min="10243" max="10243" width="1.109375" style="105" customWidth="1"/>
    <col min="10244" max="10244" width="3.33203125" style="105" customWidth="1"/>
    <col min="10245" max="10245" width="1.109375" style="105" customWidth="1"/>
    <col min="10246" max="10246" width="2.21875" style="105" customWidth="1"/>
    <col min="10247" max="10248" width="3.33203125" style="105" customWidth="1"/>
    <col min="10249" max="10249" width="2.21875" style="105" customWidth="1"/>
    <col min="10250" max="10250" width="1.109375" style="105" customWidth="1"/>
    <col min="10251" max="10251" width="3.33203125" style="105" customWidth="1"/>
    <col min="10252" max="10252" width="1.109375" style="105" customWidth="1"/>
    <col min="10253" max="10253" width="2.21875" style="105" customWidth="1"/>
    <col min="10254" max="10255" width="3.33203125" style="105" customWidth="1"/>
    <col min="10256" max="10256" width="2.21875" style="105" customWidth="1"/>
    <col min="10257" max="10257" width="1.109375" style="105" customWidth="1"/>
    <col min="10258" max="10258" width="3.33203125" style="105" customWidth="1"/>
    <col min="10259" max="10259" width="1.109375" style="105" customWidth="1"/>
    <col min="10260" max="10260" width="2.21875" style="105" customWidth="1"/>
    <col min="10261" max="10262" width="3.33203125" style="105" customWidth="1"/>
    <col min="10263" max="10263" width="2.21875" style="105" customWidth="1"/>
    <col min="10264" max="10264" width="1.109375" style="105" customWidth="1"/>
    <col min="10265" max="10265" width="3.33203125" style="105" customWidth="1"/>
    <col min="10266" max="10266" width="1.109375" style="105" customWidth="1"/>
    <col min="10267" max="10267" width="2.21875" style="105" customWidth="1"/>
    <col min="10268" max="10269" width="3.33203125" style="105" customWidth="1"/>
    <col min="10270" max="10270" width="2.21875" style="105" customWidth="1"/>
    <col min="10271" max="10271" width="1.109375" style="105" customWidth="1"/>
    <col min="10272" max="10272" width="3.33203125" style="105" customWidth="1"/>
    <col min="10273" max="10273" width="1.109375" style="105" customWidth="1"/>
    <col min="10274" max="10274" width="2.21875" style="105" customWidth="1"/>
    <col min="10275" max="10276" width="3.33203125" style="105" customWidth="1"/>
    <col min="10277" max="10277" width="2.21875" style="105" customWidth="1"/>
    <col min="10278" max="10278" width="1.109375" style="105" customWidth="1"/>
    <col min="10279" max="10279" width="3.33203125" style="105" customWidth="1"/>
    <col min="10280" max="10280" width="1.109375" style="105" customWidth="1"/>
    <col min="10281" max="10281" width="2.21875" style="105" customWidth="1"/>
    <col min="10282" max="10283" width="3.33203125" style="105" customWidth="1"/>
    <col min="10284" max="10284" width="2.21875" style="105" customWidth="1"/>
    <col min="10285" max="10285" width="1.109375" style="105" customWidth="1"/>
    <col min="10286" max="10286" width="3.33203125" style="105" customWidth="1"/>
    <col min="10287" max="10287" width="1.109375" style="105" customWidth="1"/>
    <col min="10288" max="10288" width="2.21875" style="105" customWidth="1"/>
    <col min="10289" max="10290" width="3.33203125" style="105" customWidth="1"/>
    <col min="10291" max="10291" width="2.21875" style="105" customWidth="1"/>
    <col min="10292" max="10292" width="1.109375" style="105" customWidth="1"/>
    <col min="10293" max="10293" width="3.33203125" style="105" customWidth="1"/>
    <col min="10294" max="10294" width="1.109375" style="105" customWidth="1"/>
    <col min="10295" max="10295" width="0.21875" style="105" customWidth="1"/>
    <col min="10296" max="10296" width="2" style="105" customWidth="1"/>
    <col min="10297" max="10298" width="3.33203125" style="105" customWidth="1"/>
    <col min="10299" max="10299" width="2.21875" style="105" customWidth="1"/>
    <col min="10300" max="10300" width="1.109375" style="105" customWidth="1"/>
    <col min="10301" max="10301" width="4.44140625" style="105" customWidth="1"/>
    <col min="10302" max="10343" width="11.109375" style="105" customWidth="1"/>
    <col min="10344" max="10496" width="8.88671875" style="105"/>
    <col min="10497" max="10497" width="3.33203125" style="105" customWidth="1"/>
    <col min="10498" max="10498" width="2.21875" style="105" customWidth="1"/>
    <col min="10499" max="10499" width="1.109375" style="105" customWidth="1"/>
    <col min="10500" max="10500" width="3.33203125" style="105" customWidth="1"/>
    <col min="10501" max="10501" width="1.109375" style="105" customWidth="1"/>
    <col min="10502" max="10502" width="2.21875" style="105" customWidth="1"/>
    <col min="10503" max="10504" width="3.33203125" style="105" customWidth="1"/>
    <col min="10505" max="10505" width="2.21875" style="105" customWidth="1"/>
    <col min="10506" max="10506" width="1.109375" style="105" customWidth="1"/>
    <col min="10507" max="10507" width="3.33203125" style="105" customWidth="1"/>
    <col min="10508" max="10508" width="1.109375" style="105" customWidth="1"/>
    <col min="10509" max="10509" width="2.21875" style="105" customWidth="1"/>
    <col min="10510" max="10511" width="3.33203125" style="105" customWidth="1"/>
    <col min="10512" max="10512" width="2.21875" style="105" customWidth="1"/>
    <col min="10513" max="10513" width="1.109375" style="105" customWidth="1"/>
    <col min="10514" max="10514" width="3.33203125" style="105" customWidth="1"/>
    <col min="10515" max="10515" width="1.109375" style="105" customWidth="1"/>
    <col min="10516" max="10516" width="2.21875" style="105" customWidth="1"/>
    <col min="10517" max="10518" width="3.33203125" style="105" customWidth="1"/>
    <col min="10519" max="10519" width="2.21875" style="105" customWidth="1"/>
    <col min="10520" max="10520" width="1.109375" style="105" customWidth="1"/>
    <col min="10521" max="10521" width="3.33203125" style="105" customWidth="1"/>
    <col min="10522" max="10522" width="1.109375" style="105" customWidth="1"/>
    <col min="10523" max="10523" width="2.21875" style="105" customWidth="1"/>
    <col min="10524" max="10525" width="3.33203125" style="105" customWidth="1"/>
    <col min="10526" max="10526" width="2.21875" style="105" customWidth="1"/>
    <col min="10527" max="10527" width="1.109375" style="105" customWidth="1"/>
    <col min="10528" max="10528" width="3.33203125" style="105" customWidth="1"/>
    <col min="10529" max="10529" width="1.109375" style="105" customWidth="1"/>
    <col min="10530" max="10530" width="2.21875" style="105" customWidth="1"/>
    <col min="10531" max="10532" width="3.33203125" style="105" customWidth="1"/>
    <col min="10533" max="10533" width="2.21875" style="105" customWidth="1"/>
    <col min="10534" max="10534" width="1.109375" style="105" customWidth="1"/>
    <col min="10535" max="10535" width="3.33203125" style="105" customWidth="1"/>
    <col min="10536" max="10536" width="1.109375" style="105" customWidth="1"/>
    <col min="10537" max="10537" width="2.21875" style="105" customWidth="1"/>
    <col min="10538" max="10539" width="3.33203125" style="105" customWidth="1"/>
    <col min="10540" max="10540" width="2.21875" style="105" customWidth="1"/>
    <col min="10541" max="10541" width="1.109375" style="105" customWidth="1"/>
    <col min="10542" max="10542" width="3.33203125" style="105" customWidth="1"/>
    <col min="10543" max="10543" width="1.109375" style="105" customWidth="1"/>
    <col min="10544" max="10544" width="2.21875" style="105" customWidth="1"/>
    <col min="10545" max="10546" width="3.33203125" style="105" customWidth="1"/>
    <col min="10547" max="10547" width="2.21875" style="105" customWidth="1"/>
    <col min="10548" max="10548" width="1.109375" style="105" customWidth="1"/>
    <col min="10549" max="10549" width="3.33203125" style="105" customWidth="1"/>
    <col min="10550" max="10550" width="1.109375" style="105" customWidth="1"/>
    <col min="10551" max="10551" width="0.21875" style="105" customWidth="1"/>
    <col min="10552" max="10552" width="2" style="105" customWidth="1"/>
    <col min="10553" max="10554" width="3.33203125" style="105" customWidth="1"/>
    <col min="10555" max="10555" width="2.21875" style="105" customWidth="1"/>
    <col min="10556" max="10556" width="1.109375" style="105" customWidth="1"/>
    <col min="10557" max="10557" width="4.44140625" style="105" customWidth="1"/>
    <col min="10558" max="10599" width="11.109375" style="105" customWidth="1"/>
    <col min="10600" max="10752" width="8.88671875" style="105"/>
    <col min="10753" max="10753" width="3.33203125" style="105" customWidth="1"/>
    <col min="10754" max="10754" width="2.21875" style="105" customWidth="1"/>
    <col min="10755" max="10755" width="1.109375" style="105" customWidth="1"/>
    <col min="10756" max="10756" width="3.33203125" style="105" customWidth="1"/>
    <col min="10757" max="10757" width="1.109375" style="105" customWidth="1"/>
    <col min="10758" max="10758" width="2.21875" style="105" customWidth="1"/>
    <col min="10759" max="10760" width="3.33203125" style="105" customWidth="1"/>
    <col min="10761" max="10761" width="2.21875" style="105" customWidth="1"/>
    <col min="10762" max="10762" width="1.109375" style="105" customWidth="1"/>
    <col min="10763" max="10763" width="3.33203125" style="105" customWidth="1"/>
    <col min="10764" max="10764" width="1.109375" style="105" customWidth="1"/>
    <col min="10765" max="10765" width="2.21875" style="105" customWidth="1"/>
    <col min="10766" max="10767" width="3.33203125" style="105" customWidth="1"/>
    <col min="10768" max="10768" width="2.21875" style="105" customWidth="1"/>
    <col min="10769" max="10769" width="1.109375" style="105" customWidth="1"/>
    <col min="10770" max="10770" width="3.33203125" style="105" customWidth="1"/>
    <col min="10771" max="10771" width="1.109375" style="105" customWidth="1"/>
    <col min="10772" max="10772" width="2.21875" style="105" customWidth="1"/>
    <col min="10773" max="10774" width="3.33203125" style="105" customWidth="1"/>
    <col min="10775" max="10775" width="2.21875" style="105" customWidth="1"/>
    <col min="10776" max="10776" width="1.109375" style="105" customWidth="1"/>
    <col min="10777" max="10777" width="3.33203125" style="105" customWidth="1"/>
    <col min="10778" max="10778" width="1.109375" style="105" customWidth="1"/>
    <col min="10779" max="10779" width="2.21875" style="105" customWidth="1"/>
    <col min="10780" max="10781" width="3.33203125" style="105" customWidth="1"/>
    <col min="10782" max="10782" width="2.21875" style="105" customWidth="1"/>
    <col min="10783" max="10783" width="1.109375" style="105" customWidth="1"/>
    <col min="10784" max="10784" width="3.33203125" style="105" customWidth="1"/>
    <col min="10785" max="10785" width="1.109375" style="105" customWidth="1"/>
    <col min="10786" max="10786" width="2.21875" style="105" customWidth="1"/>
    <col min="10787" max="10788" width="3.33203125" style="105" customWidth="1"/>
    <col min="10789" max="10789" width="2.21875" style="105" customWidth="1"/>
    <col min="10790" max="10790" width="1.109375" style="105" customWidth="1"/>
    <col min="10791" max="10791" width="3.33203125" style="105" customWidth="1"/>
    <col min="10792" max="10792" width="1.109375" style="105" customWidth="1"/>
    <col min="10793" max="10793" width="2.21875" style="105" customWidth="1"/>
    <col min="10794" max="10795" width="3.33203125" style="105" customWidth="1"/>
    <col min="10796" max="10796" width="2.21875" style="105" customWidth="1"/>
    <col min="10797" max="10797" width="1.109375" style="105" customWidth="1"/>
    <col min="10798" max="10798" width="3.33203125" style="105" customWidth="1"/>
    <col min="10799" max="10799" width="1.109375" style="105" customWidth="1"/>
    <col min="10800" max="10800" width="2.21875" style="105" customWidth="1"/>
    <col min="10801" max="10802" width="3.33203125" style="105" customWidth="1"/>
    <col min="10803" max="10803" width="2.21875" style="105" customWidth="1"/>
    <col min="10804" max="10804" width="1.109375" style="105" customWidth="1"/>
    <col min="10805" max="10805" width="3.33203125" style="105" customWidth="1"/>
    <col min="10806" max="10806" width="1.109375" style="105" customWidth="1"/>
    <col min="10807" max="10807" width="0.21875" style="105" customWidth="1"/>
    <col min="10808" max="10808" width="2" style="105" customWidth="1"/>
    <col min="10809" max="10810" width="3.33203125" style="105" customWidth="1"/>
    <col min="10811" max="10811" width="2.21875" style="105" customWidth="1"/>
    <col min="10812" max="10812" width="1.109375" style="105" customWidth="1"/>
    <col min="10813" max="10813" width="4.44140625" style="105" customWidth="1"/>
    <col min="10814" max="10855" width="11.109375" style="105" customWidth="1"/>
    <col min="10856" max="11008" width="8.88671875" style="105"/>
    <col min="11009" max="11009" width="3.33203125" style="105" customWidth="1"/>
    <col min="11010" max="11010" width="2.21875" style="105" customWidth="1"/>
    <col min="11011" max="11011" width="1.109375" style="105" customWidth="1"/>
    <col min="11012" max="11012" width="3.33203125" style="105" customWidth="1"/>
    <col min="11013" max="11013" width="1.109375" style="105" customWidth="1"/>
    <col min="11014" max="11014" width="2.21875" style="105" customWidth="1"/>
    <col min="11015" max="11016" width="3.33203125" style="105" customWidth="1"/>
    <col min="11017" max="11017" width="2.21875" style="105" customWidth="1"/>
    <col min="11018" max="11018" width="1.109375" style="105" customWidth="1"/>
    <col min="11019" max="11019" width="3.33203125" style="105" customWidth="1"/>
    <col min="11020" max="11020" width="1.109375" style="105" customWidth="1"/>
    <col min="11021" max="11021" width="2.21875" style="105" customWidth="1"/>
    <col min="11022" max="11023" width="3.33203125" style="105" customWidth="1"/>
    <col min="11024" max="11024" width="2.21875" style="105" customWidth="1"/>
    <col min="11025" max="11025" width="1.109375" style="105" customWidth="1"/>
    <col min="11026" max="11026" width="3.33203125" style="105" customWidth="1"/>
    <col min="11027" max="11027" width="1.109375" style="105" customWidth="1"/>
    <col min="11028" max="11028" width="2.21875" style="105" customWidth="1"/>
    <col min="11029" max="11030" width="3.33203125" style="105" customWidth="1"/>
    <col min="11031" max="11031" width="2.21875" style="105" customWidth="1"/>
    <col min="11032" max="11032" width="1.109375" style="105" customWidth="1"/>
    <col min="11033" max="11033" width="3.33203125" style="105" customWidth="1"/>
    <col min="11034" max="11034" width="1.109375" style="105" customWidth="1"/>
    <col min="11035" max="11035" width="2.21875" style="105" customWidth="1"/>
    <col min="11036" max="11037" width="3.33203125" style="105" customWidth="1"/>
    <col min="11038" max="11038" width="2.21875" style="105" customWidth="1"/>
    <col min="11039" max="11039" width="1.109375" style="105" customWidth="1"/>
    <col min="11040" max="11040" width="3.33203125" style="105" customWidth="1"/>
    <col min="11041" max="11041" width="1.109375" style="105" customWidth="1"/>
    <col min="11042" max="11042" width="2.21875" style="105" customWidth="1"/>
    <col min="11043" max="11044" width="3.33203125" style="105" customWidth="1"/>
    <col min="11045" max="11045" width="2.21875" style="105" customWidth="1"/>
    <col min="11046" max="11046" width="1.109375" style="105" customWidth="1"/>
    <col min="11047" max="11047" width="3.33203125" style="105" customWidth="1"/>
    <col min="11048" max="11048" width="1.109375" style="105" customWidth="1"/>
    <col min="11049" max="11049" width="2.21875" style="105" customWidth="1"/>
    <col min="11050" max="11051" width="3.33203125" style="105" customWidth="1"/>
    <col min="11052" max="11052" width="2.21875" style="105" customWidth="1"/>
    <col min="11053" max="11053" width="1.109375" style="105" customWidth="1"/>
    <col min="11054" max="11054" width="3.33203125" style="105" customWidth="1"/>
    <col min="11055" max="11055" width="1.109375" style="105" customWidth="1"/>
    <col min="11056" max="11056" width="2.21875" style="105" customWidth="1"/>
    <col min="11057" max="11058" width="3.33203125" style="105" customWidth="1"/>
    <col min="11059" max="11059" width="2.21875" style="105" customWidth="1"/>
    <col min="11060" max="11060" width="1.109375" style="105" customWidth="1"/>
    <col min="11061" max="11061" width="3.33203125" style="105" customWidth="1"/>
    <col min="11062" max="11062" width="1.109375" style="105" customWidth="1"/>
    <col min="11063" max="11063" width="0.21875" style="105" customWidth="1"/>
    <col min="11064" max="11064" width="2" style="105" customWidth="1"/>
    <col min="11065" max="11066" width="3.33203125" style="105" customWidth="1"/>
    <col min="11067" max="11067" width="2.21875" style="105" customWidth="1"/>
    <col min="11068" max="11068" width="1.109375" style="105" customWidth="1"/>
    <col min="11069" max="11069" width="4.44140625" style="105" customWidth="1"/>
    <col min="11070" max="11111" width="11.109375" style="105" customWidth="1"/>
    <col min="11112" max="11264" width="8.88671875" style="105"/>
    <col min="11265" max="11265" width="3.33203125" style="105" customWidth="1"/>
    <col min="11266" max="11266" width="2.21875" style="105" customWidth="1"/>
    <col min="11267" max="11267" width="1.109375" style="105" customWidth="1"/>
    <col min="11268" max="11268" width="3.33203125" style="105" customWidth="1"/>
    <col min="11269" max="11269" width="1.109375" style="105" customWidth="1"/>
    <col min="11270" max="11270" width="2.21875" style="105" customWidth="1"/>
    <col min="11271" max="11272" width="3.33203125" style="105" customWidth="1"/>
    <col min="11273" max="11273" width="2.21875" style="105" customWidth="1"/>
    <col min="11274" max="11274" width="1.109375" style="105" customWidth="1"/>
    <col min="11275" max="11275" width="3.33203125" style="105" customWidth="1"/>
    <col min="11276" max="11276" width="1.109375" style="105" customWidth="1"/>
    <col min="11277" max="11277" width="2.21875" style="105" customWidth="1"/>
    <col min="11278" max="11279" width="3.33203125" style="105" customWidth="1"/>
    <col min="11280" max="11280" width="2.21875" style="105" customWidth="1"/>
    <col min="11281" max="11281" width="1.109375" style="105" customWidth="1"/>
    <col min="11282" max="11282" width="3.33203125" style="105" customWidth="1"/>
    <col min="11283" max="11283" width="1.109375" style="105" customWidth="1"/>
    <col min="11284" max="11284" width="2.21875" style="105" customWidth="1"/>
    <col min="11285" max="11286" width="3.33203125" style="105" customWidth="1"/>
    <col min="11287" max="11287" width="2.21875" style="105" customWidth="1"/>
    <col min="11288" max="11288" width="1.109375" style="105" customWidth="1"/>
    <col min="11289" max="11289" width="3.33203125" style="105" customWidth="1"/>
    <col min="11290" max="11290" width="1.109375" style="105" customWidth="1"/>
    <col min="11291" max="11291" width="2.21875" style="105" customWidth="1"/>
    <col min="11292" max="11293" width="3.33203125" style="105" customWidth="1"/>
    <col min="11294" max="11294" width="2.21875" style="105" customWidth="1"/>
    <col min="11295" max="11295" width="1.109375" style="105" customWidth="1"/>
    <col min="11296" max="11296" width="3.33203125" style="105" customWidth="1"/>
    <col min="11297" max="11297" width="1.109375" style="105" customWidth="1"/>
    <col min="11298" max="11298" width="2.21875" style="105" customWidth="1"/>
    <col min="11299" max="11300" width="3.33203125" style="105" customWidth="1"/>
    <col min="11301" max="11301" width="2.21875" style="105" customWidth="1"/>
    <col min="11302" max="11302" width="1.109375" style="105" customWidth="1"/>
    <col min="11303" max="11303" width="3.33203125" style="105" customWidth="1"/>
    <col min="11304" max="11304" width="1.109375" style="105" customWidth="1"/>
    <col min="11305" max="11305" width="2.21875" style="105" customWidth="1"/>
    <col min="11306" max="11307" width="3.33203125" style="105" customWidth="1"/>
    <col min="11308" max="11308" width="2.21875" style="105" customWidth="1"/>
    <col min="11309" max="11309" width="1.109375" style="105" customWidth="1"/>
    <col min="11310" max="11310" width="3.33203125" style="105" customWidth="1"/>
    <col min="11311" max="11311" width="1.109375" style="105" customWidth="1"/>
    <col min="11312" max="11312" width="2.21875" style="105" customWidth="1"/>
    <col min="11313" max="11314" width="3.33203125" style="105" customWidth="1"/>
    <col min="11315" max="11315" width="2.21875" style="105" customWidth="1"/>
    <col min="11316" max="11316" width="1.109375" style="105" customWidth="1"/>
    <col min="11317" max="11317" width="3.33203125" style="105" customWidth="1"/>
    <col min="11318" max="11318" width="1.109375" style="105" customWidth="1"/>
    <col min="11319" max="11319" width="0.21875" style="105" customWidth="1"/>
    <col min="11320" max="11320" width="2" style="105" customWidth="1"/>
    <col min="11321" max="11322" width="3.33203125" style="105" customWidth="1"/>
    <col min="11323" max="11323" width="2.21875" style="105" customWidth="1"/>
    <col min="11324" max="11324" width="1.109375" style="105" customWidth="1"/>
    <col min="11325" max="11325" width="4.44140625" style="105" customWidth="1"/>
    <col min="11326" max="11367" width="11.109375" style="105" customWidth="1"/>
    <col min="11368" max="11520" width="8.88671875" style="105"/>
    <col min="11521" max="11521" width="3.33203125" style="105" customWidth="1"/>
    <col min="11522" max="11522" width="2.21875" style="105" customWidth="1"/>
    <col min="11523" max="11523" width="1.109375" style="105" customWidth="1"/>
    <col min="11524" max="11524" width="3.33203125" style="105" customWidth="1"/>
    <col min="11525" max="11525" width="1.109375" style="105" customWidth="1"/>
    <col min="11526" max="11526" width="2.21875" style="105" customWidth="1"/>
    <col min="11527" max="11528" width="3.33203125" style="105" customWidth="1"/>
    <col min="11529" max="11529" width="2.21875" style="105" customWidth="1"/>
    <col min="11530" max="11530" width="1.109375" style="105" customWidth="1"/>
    <col min="11531" max="11531" width="3.33203125" style="105" customWidth="1"/>
    <col min="11532" max="11532" width="1.109375" style="105" customWidth="1"/>
    <col min="11533" max="11533" width="2.21875" style="105" customWidth="1"/>
    <col min="11534" max="11535" width="3.33203125" style="105" customWidth="1"/>
    <col min="11536" max="11536" width="2.21875" style="105" customWidth="1"/>
    <col min="11537" max="11537" width="1.109375" style="105" customWidth="1"/>
    <col min="11538" max="11538" width="3.33203125" style="105" customWidth="1"/>
    <col min="11539" max="11539" width="1.109375" style="105" customWidth="1"/>
    <col min="11540" max="11540" width="2.21875" style="105" customWidth="1"/>
    <col min="11541" max="11542" width="3.33203125" style="105" customWidth="1"/>
    <col min="11543" max="11543" width="2.21875" style="105" customWidth="1"/>
    <col min="11544" max="11544" width="1.109375" style="105" customWidth="1"/>
    <col min="11545" max="11545" width="3.33203125" style="105" customWidth="1"/>
    <col min="11546" max="11546" width="1.109375" style="105" customWidth="1"/>
    <col min="11547" max="11547" width="2.21875" style="105" customWidth="1"/>
    <col min="11548" max="11549" width="3.33203125" style="105" customWidth="1"/>
    <col min="11550" max="11550" width="2.21875" style="105" customWidth="1"/>
    <col min="11551" max="11551" width="1.109375" style="105" customWidth="1"/>
    <col min="11552" max="11552" width="3.33203125" style="105" customWidth="1"/>
    <col min="11553" max="11553" width="1.109375" style="105" customWidth="1"/>
    <col min="11554" max="11554" width="2.21875" style="105" customWidth="1"/>
    <col min="11555" max="11556" width="3.33203125" style="105" customWidth="1"/>
    <col min="11557" max="11557" width="2.21875" style="105" customWidth="1"/>
    <col min="11558" max="11558" width="1.109375" style="105" customWidth="1"/>
    <col min="11559" max="11559" width="3.33203125" style="105" customWidth="1"/>
    <col min="11560" max="11560" width="1.109375" style="105" customWidth="1"/>
    <col min="11561" max="11561" width="2.21875" style="105" customWidth="1"/>
    <col min="11562" max="11563" width="3.33203125" style="105" customWidth="1"/>
    <col min="11564" max="11564" width="2.21875" style="105" customWidth="1"/>
    <col min="11565" max="11565" width="1.109375" style="105" customWidth="1"/>
    <col min="11566" max="11566" width="3.33203125" style="105" customWidth="1"/>
    <col min="11567" max="11567" width="1.109375" style="105" customWidth="1"/>
    <col min="11568" max="11568" width="2.21875" style="105" customWidth="1"/>
    <col min="11569" max="11570" width="3.33203125" style="105" customWidth="1"/>
    <col min="11571" max="11571" width="2.21875" style="105" customWidth="1"/>
    <col min="11572" max="11572" width="1.109375" style="105" customWidth="1"/>
    <col min="11573" max="11573" width="3.33203125" style="105" customWidth="1"/>
    <col min="11574" max="11574" width="1.109375" style="105" customWidth="1"/>
    <col min="11575" max="11575" width="0.21875" style="105" customWidth="1"/>
    <col min="11576" max="11576" width="2" style="105" customWidth="1"/>
    <col min="11577" max="11578" width="3.33203125" style="105" customWidth="1"/>
    <col min="11579" max="11579" width="2.21875" style="105" customWidth="1"/>
    <col min="11580" max="11580" width="1.109375" style="105" customWidth="1"/>
    <col min="11581" max="11581" width="4.44140625" style="105" customWidth="1"/>
    <col min="11582" max="11623" width="11.109375" style="105" customWidth="1"/>
    <col min="11624" max="11776" width="8.88671875" style="105"/>
    <col min="11777" max="11777" width="3.33203125" style="105" customWidth="1"/>
    <col min="11778" max="11778" width="2.21875" style="105" customWidth="1"/>
    <col min="11779" max="11779" width="1.109375" style="105" customWidth="1"/>
    <col min="11780" max="11780" width="3.33203125" style="105" customWidth="1"/>
    <col min="11781" max="11781" width="1.109375" style="105" customWidth="1"/>
    <col min="11782" max="11782" width="2.21875" style="105" customWidth="1"/>
    <col min="11783" max="11784" width="3.33203125" style="105" customWidth="1"/>
    <col min="11785" max="11785" width="2.21875" style="105" customWidth="1"/>
    <col min="11786" max="11786" width="1.109375" style="105" customWidth="1"/>
    <col min="11787" max="11787" width="3.33203125" style="105" customWidth="1"/>
    <col min="11788" max="11788" width="1.109375" style="105" customWidth="1"/>
    <col min="11789" max="11789" width="2.21875" style="105" customWidth="1"/>
    <col min="11790" max="11791" width="3.33203125" style="105" customWidth="1"/>
    <col min="11792" max="11792" width="2.21875" style="105" customWidth="1"/>
    <col min="11793" max="11793" width="1.109375" style="105" customWidth="1"/>
    <col min="11794" max="11794" width="3.33203125" style="105" customWidth="1"/>
    <col min="11795" max="11795" width="1.109375" style="105" customWidth="1"/>
    <col min="11796" max="11796" width="2.21875" style="105" customWidth="1"/>
    <col min="11797" max="11798" width="3.33203125" style="105" customWidth="1"/>
    <col min="11799" max="11799" width="2.21875" style="105" customWidth="1"/>
    <col min="11800" max="11800" width="1.109375" style="105" customWidth="1"/>
    <col min="11801" max="11801" width="3.33203125" style="105" customWidth="1"/>
    <col min="11802" max="11802" width="1.109375" style="105" customWidth="1"/>
    <col min="11803" max="11803" width="2.21875" style="105" customWidth="1"/>
    <col min="11804" max="11805" width="3.33203125" style="105" customWidth="1"/>
    <col min="11806" max="11806" width="2.21875" style="105" customWidth="1"/>
    <col min="11807" max="11807" width="1.109375" style="105" customWidth="1"/>
    <col min="11808" max="11808" width="3.33203125" style="105" customWidth="1"/>
    <col min="11809" max="11809" width="1.109375" style="105" customWidth="1"/>
    <col min="11810" max="11810" width="2.21875" style="105" customWidth="1"/>
    <col min="11811" max="11812" width="3.33203125" style="105" customWidth="1"/>
    <col min="11813" max="11813" width="2.21875" style="105" customWidth="1"/>
    <col min="11814" max="11814" width="1.109375" style="105" customWidth="1"/>
    <col min="11815" max="11815" width="3.33203125" style="105" customWidth="1"/>
    <col min="11816" max="11816" width="1.109375" style="105" customWidth="1"/>
    <col min="11817" max="11817" width="2.21875" style="105" customWidth="1"/>
    <col min="11818" max="11819" width="3.33203125" style="105" customWidth="1"/>
    <col min="11820" max="11820" width="2.21875" style="105" customWidth="1"/>
    <col min="11821" max="11821" width="1.109375" style="105" customWidth="1"/>
    <col min="11822" max="11822" width="3.33203125" style="105" customWidth="1"/>
    <col min="11823" max="11823" width="1.109375" style="105" customWidth="1"/>
    <col min="11824" max="11824" width="2.21875" style="105" customWidth="1"/>
    <col min="11825" max="11826" width="3.33203125" style="105" customWidth="1"/>
    <col min="11827" max="11827" width="2.21875" style="105" customWidth="1"/>
    <col min="11828" max="11828" width="1.109375" style="105" customWidth="1"/>
    <col min="11829" max="11829" width="3.33203125" style="105" customWidth="1"/>
    <col min="11830" max="11830" width="1.109375" style="105" customWidth="1"/>
    <col min="11831" max="11831" width="0.21875" style="105" customWidth="1"/>
    <col min="11832" max="11832" width="2" style="105" customWidth="1"/>
    <col min="11833" max="11834" width="3.33203125" style="105" customWidth="1"/>
    <col min="11835" max="11835" width="2.21875" style="105" customWidth="1"/>
    <col min="11836" max="11836" width="1.109375" style="105" customWidth="1"/>
    <col min="11837" max="11837" width="4.44140625" style="105" customWidth="1"/>
    <col min="11838" max="11879" width="11.109375" style="105" customWidth="1"/>
    <col min="11880" max="12032" width="8.88671875" style="105"/>
    <col min="12033" max="12033" width="3.33203125" style="105" customWidth="1"/>
    <col min="12034" max="12034" width="2.21875" style="105" customWidth="1"/>
    <col min="12035" max="12035" width="1.109375" style="105" customWidth="1"/>
    <col min="12036" max="12036" width="3.33203125" style="105" customWidth="1"/>
    <col min="12037" max="12037" width="1.109375" style="105" customWidth="1"/>
    <col min="12038" max="12038" width="2.21875" style="105" customWidth="1"/>
    <col min="12039" max="12040" width="3.33203125" style="105" customWidth="1"/>
    <col min="12041" max="12041" width="2.21875" style="105" customWidth="1"/>
    <col min="12042" max="12042" width="1.109375" style="105" customWidth="1"/>
    <col min="12043" max="12043" width="3.33203125" style="105" customWidth="1"/>
    <col min="12044" max="12044" width="1.109375" style="105" customWidth="1"/>
    <col min="12045" max="12045" width="2.21875" style="105" customWidth="1"/>
    <col min="12046" max="12047" width="3.33203125" style="105" customWidth="1"/>
    <col min="12048" max="12048" width="2.21875" style="105" customWidth="1"/>
    <col min="12049" max="12049" width="1.109375" style="105" customWidth="1"/>
    <col min="12050" max="12050" width="3.33203125" style="105" customWidth="1"/>
    <col min="12051" max="12051" width="1.109375" style="105" customWidth="1"/>
    <col min="12052" max="12052" width="2.21875" style="105" customWidth="1"/>
    <col min="12053" max="12054" width="3.33203125" style="105" customWidth="1"/>
    <col min="12055" max="12055" width="2.21875" style="105" customWidth="1"/>
    <col min="12056" max="12056" width="1.109375" style="105" customWidth="1"/>
    <col min="12057" max="12057" width="3.33203125" style="105" customWidth="1"/>
    <col min="12058" max="12058" width="1.109375" style="105" customWidth="1"/>
    <col min="12059" max="12059" width="2.21875" style="105" customWidth="1"/>
    <col min="12060" max="12061" width="3.33203125" style="105" customWidth="1"/>
    <col min="12062" max="12062" width="2.21875" style="105" customWidth="1"/>
    <col min="12063" max="12063" width="1.109375" style="105" customWidth="1"/>
    <col min="12064" max="12064" width="3.33203125" style="105" customWidth="1"/>
    <col min="12065" max="12065" width="1.109375" style="105" customWidth="1"/>
    <col min="12066" max="12066" width="2.21875" style="105" customWidth="1"/>
    <col min="12067" max="12068" width="3.33203125" style="105" customWidth="1"/>
    <col min="12069" max="12069" width="2.21875" style="105" customWidth="1"/>
    <col min="12070" max="12070" width="1.109375" style="105" customWidth="1"/>
    <col min="12071" max="12071" width="3.33203125" style="105" customWidth="1"/>
    <col min="12072" max="12072" width="1.109375" style="105" customWidth="1"/>
    <col min="12073" max="12073" width="2.21875" style="105" customWidth="1"/>
    <col min="12074" max="12075" width="3.33203125" style="105" customWidth="1"/>
    <col min="12076" max="12076" width="2.21875" style="105" customWidth="1"/>
    <col min="12077" max="12077" width="1.109375" style="105" customWidth="1"/>
    <col min="12078" max="12078" width="3.33203125" style="105" customWidth="1"/>
    <col min="12079" max="12079" width="1.109375" style="105" customWidth="1"/>
    <col min="12080" max="12080" width="2.21875" style="105" customWidth="1"/>
    <col min="12081" max="12082" width="3.33203125" style="105" customWidth="1"/>
    <col min="12083" max="12083" width="2.21875" style="105" customWidth="1"/>
    <col min="12084" max="12084" width="1.109375" style="105" customWidth="1"/>
    <col min="12085" max="12085" width="3.33203125" style="105" customWidth="1"/>
    <col min="12086" max="12086" width="1.109375" style="105" customWidth="1"/>
    <col min="12087" max="12087" width="0.21875" style="105" customWidth="1"/>
    <col min="12088" max="12088" width="2" style="105" customWidth="1"/>
    <col min="12089" max="12090" width="3.33203125" style="105" customWidth="1"/>
    <col min="12091" max="12091" width="2.21875" style="105" customWidth="1"/>
    <col min="12092" max="12092" width="1.109375" style="105" customWidth="1"/>
    <col min="12093" max="12093" width="4.44140625" style="105" customWidth="1"/>
    <col min="12094" max="12135" width="11.109375" style="105" customWidth="1"/>
    <col min="12136" max="12288" width="8.88671875" style="105"/>
    <col min="12289" max="12289" width="3.33203125" style="105" customWidth="1"/>
    <col min="12290" max="12290" width="2.21875" style="105" customWidth="1"/>
    <col min="12291" max="12291" width="1.109375" style="105" customWidth="1"/>
    <col min="12292" max="12292" width="3.33203125" style="105" customWidth="1"/>
    <col min="12293" max="12293" width="1.109375" style="105" customWidth="1"/>
    <col min="12294" max="12294" width="2.21875" style="105" customWidth="1"/>
    <col min="12295" max="12296" width="3.33203125" style="105" customWidth="1"/>
    <col min="12297" max="12297" width="2.21875" style="105" customWidth="1"/>
    <col min="12298" max="12298" width="1.109375" style="105" customWidth="1"/>
    <col min="12299" max="12299" width="3.33203125" style="105" customWidth="1"/>
    <col min="12300" max="12300" width="1.109375" style="105" customWidth="1"/>
    <col min="12301" max="12301" width="2.21875" style="105" customWidth="1"/>
    <col min="12302" max="12303" width="3.33203125" style="105" customWidth="1"/>
    <col min="12304" max="12304" width="2.21875" style="105" customWidth="1"/>
    <col min="12305" max="12305" width="1.109375" style="105" customWidth="1"/>
    <col min="12306" max="12306" width="3.33203125" style="105" customWidth="1"/>
    <col min="12307" max="12307" width="1.109375" style="105" customWidth="1"/>
    <col min="12308" max="12308" width="2.21875" style="105" customWidth="1"/>
    <col min="12309" max="12310" width="3.33203125" style="105" customWidth="1"/>
    <col min="12311" max="12311" width="2.21875" style="105" customWidth="1"/>
    <col min="12312" max="12312" width="1.109375" style="105" customWidth="1"/>
    <col min="12313" max="12313" width="3.33203125" style="105" customWidth="1"/>
    <col min="12314" max="12314" width="1.109375" style="105" customWidth="1"/>
    <col min="12315" max="12315" width="2.21875" style="105" customWidth="1"/>
    <col min="12316" max="12317" width="3.33203125" style="105" customWidth="1"/>
    <col min="12318" max="12318" width="2.21875" style="105" customWidth="1"/>
    <col min="12319" max="12319" width="1.109375" style="105" customWidth="1"/>
    <col min="12320" max="12320" width="3.33203125" style="105" customWidth="1"/>
    <col min="12321" max="12321" width="1.109375" style="105" customWidth="1"/>
    <col min="12322" max="12322" width="2.21875" style="105" customWidth="1"/>
    <col min="12323" max="12324" width="3.33203125" style="105" customWidth="1"/>
    <col min="12325" max="12325" width="2.21875" style="105" customWidth="1"/>
    <col min="12326" max="12326" width="1.109375" style="105" customWidth="1"/>
    <col min="12327" max="12327" width="3.33203125" style="105" customWidth="1"/>
    <col min="12328" max="12328" width="1.109375" style="105" customWidth="1"/>
    <col min="12329" max="12329" width="2.21875" style="105" customWidth="1"/>
    <col min="12330" max="12331" width="3.33203125" style="105" customWidth="1"/>
    <col min="12332" max="12332" width="2.21875" style="105" customWidth="1"/>
    <col min="12333" max="12333" width="1.109375" style="105" customWidth="1"/>
    <col min="12334" max="12334" width="3.33203125" style="105" customWidth="1"/>
    <col min="12335" max="12335" width="1.109375" style="105" customWidth="1"/>
    <col min="12336" max="12336" width="2.21875" style="105" customWidth="1"/>
    <col min="12337" max="12338" width="3.33203125" style="105" customWidth="1"/>
    <col min="12339" max="12339" width="2.21875" style="105" customWidth="1"/>
    <col min="12340" max="12340" width="1.109375" style="105" customWidth="1"/>
    <col min="12341" max="12341" width="3.33203125" style="105" customWidth="1"/>
    <col min="12342" max="12342" width="1.109375" style="105" customWidth="1"/>
    <col min="12343" max="12343" width="0.21875" style="105" customWidth="1"/>
    <col min="12344" max="12344" width="2" style="105" customWidth="1"/>
    <col min="12345" max="12346" width="3.33203125" style="105" customWidth="1"/>
    <col min="12347" max="12347" width="2.21875" style="105" customWidth="1"/>
    <col min="12348" max="12348" width="1.109375" style="105" customWidth="1"/>
    <col min="12349" max="12349" width="4.44140625" style="105" customWidth="1"/>
    <col min="12350" max="12391" width="11.109375" style="105" customWidth="1"/>
    <col min="12392" max="12544" width="8.88671875" style="105"/>
    <col min="12545" max="12545" width="3.33203125" style="105" customWidth="1"/>
    <col min="12546" max="12546" width="2.21875" style="105" customWidth="1"/>
    <col min="12547" max="12547" width="1.109375" style="105" customWidth="1"/>
    <col min="12548" max="12548" width="3.33203125" style="105" customWidth="1"/>
    <col min="12549" max="12549" width="1.109375" style="105" customWidth="1"/>
    <col min="12550" max="12550" width="2.21875" style="105" customWidth="1"/>
    <col min="12551" max="12552" width="3.33203125" style="105" customWidth="1"/>
    <col min="12553" max="12553" width="2.21875" style="105" customWidth="1"/>
    <col min="12554" max="12554" width="1.109375" style="105" customWidth="1"/>
    <col min="12555" max="12555" width="3.33203125" style="105" customWidth="1"/>
    <col min="12556" max="12556" width="1.109375" style="105" customWidth="1"/>
    <col min="12557" max="12557" width="2.21875" style="105" customWidth="1"/>
    <col min="12558" max="12559" width="3.33203125" style="105" customWidth="1"/>
    <col min="12560" max="12560" width="2.21875" style="105" customWidth="1"/>
    <col min="12561" max="12561" width="1.109375" style="105" customWidth="1"/>
    <col min="12562" max="12562" width="3.33203125" style="105" customWidth="1"/>
    <col min="12563" max="12563" width="1.109375" style="105" customWidth="1"/>
    <col min="12564" max="12564" width="2.21875" style="105" customWidth="1"/>
    <col min="12565" max="12566" width="3.33203125" style="105" customWidth="1"/>
    <col min="12567" max="12567" width="2.21875" style="105" customWidth="1"/>
    <col min="12568" max="12568" width="1.109375" style="105" customWidth="1"/>
    <col min="12569" max="12569" width="3.33203125" style="105" customWidth="1"/>
    <col min="12570" max="12570" width="1.109375" style="105" customWidth="1"/>
    <col min="12571" max="12571" width="2.21875" style="105" customWidth="1"/>
    <col min="12572" max="12573" width="3.33203125" style="105" customWidth="1"/>
    <col min="12574" max="12574" width="2.21875" style="105" customWidth="1"/>
    <col min="12575" max="12575" width="1.109375" style="105" customWidth="1"/>
    <col min="12576" max="12576" width="3.33203125" style="105" customWidth="1"/>
    <col min="12577" max="12577" width="1.109375" style="105" customWidth="1"/>
    <col min="12578" max="12578" width="2.21875" style="105" customWidth="1"/>
    <col min="12579" max="12580" width="3.33203125" style="105" customWidth="1"/>
    <col min="12581" max="12581" width="2.21875" style="105" customWidth="1"/>
    <col min="12582" max="12582" width="1.109375" style="105" customWidth="1"/>
    <col min="12583" max="12583" width="3.33203125" style="105" customWidth="1"/>
    <col min="12584" max="12584" width="1.109375" style="105" customWidth="1"/>
    <col min="12585" max="12585" width="2.21875" style="105" customWidth="1"/>
    <col min="12586" max="12587" width="3.33203125" style="105" customWidth="1"/>
    <col min="12588" max="12588" width="2.21875" style="105" customWidth="1"/>
    <col min="12589" max="12589" width="1.109375" style="105" customWidth="1"/>
    <col min="12590" max="12590" width="3.33203125" style="105" customWidth="1"/>
    <col min="12591" max="12591" width="1.109375" style="105" customWidth="1"/>
    <col min="12592" max="12592" width="2.21875" style="105" customWidth="1"/>
    <col min="12593" max="12594" width="3.33203125" style="105" customWidth="1"/>
    <col min="12595" max="12595" width="2.21875" style="105" customWidth="1"/>
    <col min="12596" max="12596" width="1.109375" style="105" customWidth="1"/>
    <col min="12597" max="12597" width="3.33203125" style="105" customWidth="1"/>
    <col min="12598" max="12598" width="1.109375" style="105" customWidth="1"/>
    <col min="12599" max="12599" width="0.21875" style="105" customWidth="1"/>
    <col min="12600" max="12600" width="2" style="105" customWidth="1"/>
    <col min="12601" max="12602" width="3.33203125" style="105" customWidth="1"/>
    <col min="12603" max="12603" width="2.21875" style="105" customWidth="1"/>
    <col min="12604" max="12604" width="1.109375" style="105" customWidth="1"/>
    <col min="12605" max="12605" width="4.44140625" style="105" customWidth="1"/>
    <col min="12606" max="12647" width="11.109375" style="105" customWidth="1"/>
    <col min="12648" max="12800" width="8.88671875" style="105"/>
    <col min="12801" max="12801" width="3.33203125" style="105" customWidth="1"/>
    <col min="12802" max="12802" width="2.21875" style="105" customWidth="1"/>
    <col min="12803" max="12803" width="1.109375" style="105" customWidth="1"/>
    <col min="12804" max="12804" width="3.33203125" style="105" customWidth="1"/>
    <col min="12805" max="12805" width="1.109375" style="105" customWidth="1"/>
    <col min="12806" max="12806" width="2.21875" style="105" customWidth="1"/>
    <col min="12807" max="12808" width="3.33203125" style="105" customWidth="1"/>
    <col min="12809" max="12809" width="2.21875" style="105" customWidth="1"/>
    <col min="12810" max="12810" width="1.109375" style="105" customWidth="1"/>
    <col min="12811" max="12811" width="3.33203125" style="105" customWidth="1"/>
    <col min="12812" max="12812" width="1.109375" style="105" customWidth="1"/>
    <col min="12813" max="12813" width="2.21875" style="105" customWidth="1"/>
    <col min="12814" max="12815" width="3.33203125" style="105" customWidth="1"/>
    <col min="12816" max="12816" width="2.21875" style="105" customWidth="1"/>
    <col min="12817" max="12817" width="1.109375" style="105" customWidth="1"/>
    <col min="12818" max="12818" width="3.33203125" style="105" customWidth="1"/>
    <col min="12819" max="12819" width="1.109375" style="105" customWidth="1"/>
    <col min="12820" max="12820" width="2.21875" style="105" customWidth="1"/>
    <col min="12821" max="12822" width="3.33203125" style="105" customWidth="1"/>
    <col min="12823" max="12823" width="2.21875" style="105" customWidth="1"/>
    <col min="12824" max="12824" width="1.109375" style="105" customWidth="1"/>
    <col min="12825" max="12825" width="3.33203125" style="105" customWidth="1"/>
    <col min="12826" max="12826" width="1.109375" style="105" customWidth="1"/>
    <col min="12827" max="12827" width="2.21875" style="105" customWidth="1"/>
    <col min="12828" max="12829" width="3.33203125" style="105" customWidth="1"/>
    <col min="12830" max="12830" width="2.21875" style="105" customWidth="1"/>
    <col min="12831" max="12831" width="1.109375" style="105" customWidth="1"/>
    <col min="12832" max="12832" width="3.33203125" style="105" customWidth="1"/>
    <col min="12833" max="12833" width="1.109375" style="105" customWidth="1"/>
    <col min="12834" max="12834" width="2.21875" style="105" customWidth="1"/>
    <col min="12835" max="12836" width="3.33203125" style="105" customWidth="1"/>
    <col min="12837" max="12837" width="2.21875" style="105" customWidth="1"/>
    <col min="12838" max="12838" width="1.109375" style="105" customWidth="1"/>
    <col min="12839" max="12839" width="3.33203125" style="105" customWidth="1"/>
    <col min="12840" max="12840" width="1.109375" style="105" customWidth="1"/>
    <col min="12841" max="12841" width="2.21875" style="105" customWidth="1"/>
    <col min="12842" max="12843" width="3.33203125" style="105" customWidth="1"/>
    <col min="12844" max="12844" width="2.21875" style="105" customWidth="1"/>
    <col min="12845" max="12845" width="1.109375" style="105" customWidth="1"/>
    <col min="12846" max="12846" width="3.33203125" style="105" customWidth="1"/>
    <col min="12847" max="12847" width="1.109375" style="105" customWidth="1"/>
    <col min="12848" max="12848" width="2.21875" style="105" customWidth="1"/>
    <col min="12849" max="12850" width="3.33203125" style="105" customWidth="1"/>
    <col min="12851" max="12851" width="2.21875" style="105" customWidth="1"/>
    <col min="12852" max="12852" width="1.109375" style="105" customWidth="1"/>
    <col min="12853" max="12853" width="3.33203125" style="105" customWidth="1"/>
    <col min="12854" max="12854" width="1.109375" style="105" customWidth="1"/>
    <col min="12855" max="12855" width="0.21875" style="105" customWidth="1"/>
    <col min="12856" max="12856" width="2" style="105" customWidth="1"/>
    <col min="12857" max="12858" width="3.33203125" style="105" customWidth="1"/>
    <col min="12859" max="12859" width="2.21875" style="105" customWidth="1"/>
    <col min="12860" max="12860" width="1.109375" style="105" customWidth="1"/>
    <col min="12861" max="12861" width="4.44140625" style="105" customWidth="1"/>
    <col min="12862" max="12903" width="11.109375" style="105" customWidth="1"/>
    <col min="12904" max="13056" width="8.88671875" style="105"/>
    <col min="13057" max="13057" width="3.33203125" style="105" customWidth="1"/>
    <col min="13058" max="13058" width="2.21875" style="105" customWidth="1"/>
    <col min="13059" max="13059" width="1.109375" style="105" customWidth="1"/>
    <col min="13060" max="13060" width="3.33203125" style="105" customWidth="1"/>
    <col min="13061" max="13061" width="1.109375" style="105" customWidth="1"/>
    <col min="13062" max="13062" width="2.21875" style="105" customWidth="1"/>
    <col min="13063" max="13064" width="3.33203125" style="105" customWidth="1"/>
    <col min="13065" max="13065" width="2.21875" style="105" customWidth="1"/>
    <col min="13066" max="13066" width="1.109375" style="105" customWidth="1"/>
    <col min="13067" max="13067" width="3.33203125" style="105" customWidth="1"/>
    <col min="13068" max="13068" width="1.109375" style="105" customWidth="1"/>
    <col min="13069" max="13069" width="2.21875" style="105" customWidth="1"/>
    <col min="13070" max="13071" width="3.33203125" style="105" customWidth="1"/>
    <col min="13072" max="13072" width="2.21875" style="105" customWidth="1"/>
    <col min="13073" max="13073" width="1.109375" style="105" customWidth="1"/>
    <col min="13074" max="13074" width="3.33203125" style="105" customWidth="1"/>
    <col min="13075" max="13075" width="1.109375" style="105" customWidth="1"/>
    <col min="13076" max="13076" width="2.21875" style="105" customWidth="1"/>
    <col min="13077" max="13078" width="3.33203125" style="105" customWidth="1"/>
    <col min="13079" max="13079" width="2.21875" style="105" customWidth="1"/>
    <col min="13080" max="13080" width="1.109375" style="105" customWidth="1"/>
    <col min="13081" max="13081" width="3.33203125" style="105" customWidth="1"/>
    <col min="13082" max="13082" width="1.109375" style="105" customWidth="1"/>
    <col min="13083" max="13083" width="2.21875" style="105" customWidth="1"/>
    <col min="13084" max="13085" width="3.33203125" style="105" customWidth="1"/>
    <col min="13086" max="13086" width="2.21875" style="105" customWidth="1"/>
    <col min="13087" max="13087" width="1.109375" style="105" customWidth="1"/>
    <col min="13088" max="13088" width="3.33203125" style="105" customWidth="1"/>
    <col min="13089" max="13089" width="1.109375" style="105" customWidth="1"/>
    <col min="13090" max="13090" width="2.21875" style="105" customWidth="1"/>
    <col min="13091" max="13092" width="3.33203125" style="105" customWidth="1"/>
    <col min="13093" max="13093" width="2.21875" style="105" customWidth="1"/>
    <col min="13094" max="13094" width="1.109375" style="105" customWidth="1"/>
    <col min="13095" max="13095" width="3.33203125" style="105" customWidth="1"/>
    <col min="13096" max="13096" width="1.109375" style="105" customWidth="1"/>
    <col min="13097" max="13097" width="2.21875" style="105" customWidth="1"/>
    <col min="13098" max="13099" width="3.33203125" style="105" customWidth="1"/>
    <col min="13100" max="13100" width="2.21875" style="105" customWidth="1"/>
    <col min="13101" max="13101" width="1.109375" style="105" customWidth="1"/>
    <col min="13102" max="13102" width="3.33203125" style="105" customWidth="1"/>
    <col min="13103" max="13103" width="1.109375" style="105" customWidth="1"/>
    <col min="13104" max="13104" width="2.21875" style="105" customWidth="1"/>
    <col min="13105" max="13106" width="3.33203125" style="105" customWidth="1"/>
    <col min="13107" max="13107" width="2.21875" style="105" customWidth="1"/>
    <col min="13108" max="13108" width="1.109375" style="105" customWidth="1"/>
    <col min="13109" max="13109" width="3.33203125" style="105" customWidth="1"/>
    <col min="13110" max="13110" width="1.109375" style="105" customWidth="1"/>
    <col min="13111" max="13111" width="0.21875" style="105" customWidth="1"/>
    <col min="13112" max="13112" width="2" style="105" customWidth="1"/>
    <col min="13113" max="13114" width="3.33203125" style="105" customWidth="1"/>
    <col min="13115" max="13115" width="2.21875" style="105" customWidth="1"/>
    <col min="13116" max="13116" width="1.109375" style="105" customWidth="1"/>
    <col min="13117" max="13117" width="4.44140625" style="105" customWidth="1"/>
    <col min="13118" max="13159" width="11.109375" style="105" customWidth="1"/>
    <col min="13160" max="13312" width="8.88671875" style="105"/>
    <col min="13313" max="13313" width="3.33203125" style="105" customWidth="1"/>
    <col min="13314" max="13314" width="2.21875" style="105" customWidth="1"/>
    <col min="13315" max="13315" width="1.109375" style="105" customWidth="1"/>
    <col min="13316" max="13316" width="3.33203125" style="105" customWidth="1"/>
    <col min="13317" max="13317" width="1.109375" style="105" customWidth="1"/>
    <col min="13318" max="13318" width="2.21875" style="105" customWidth="1"/>
    <col min="13319" max="13320" width="3.33203125" style="105" customWidth="1"/>
    <col min="13321" max="13321" width="2.21875" style="105" customWidth="1"/>
    <col min="13322" max="13322" width="1.109375" style="105" customWidth="1"/>
    <col min="13323" max="13323" width="3.33203125" style="105" customWidth="1"/>
    <col min="13324" max="13324" width="1.109375" style="105" customWidth="1"/>
    <col min="13325" max="13325" width="2.21875" style="105" customWidth="1"/>
    <col min="13326" max="13327" width="3.33203125" style="105" customWidth="1"/>
    <col min="13328" max="13328" width="2.21875" style="105" customWidth="1"/>
    <col min="13329" max="13329" width="1.109375" style="105" customWidth="1"/>
    <col min="13330" max="13330" width="3.33203125" style="105" customWidth="1"/>
    <col min="13331" max="13331" width="1.109375" style="105" customWidth="1"/>
    <col min="13332" max="13332" width="2.21875" style="105" customWidth="1"/>
    <col min="13333" max="13334" width="3.33203125" style="105" customWidth="1"/>
    <col min="13335" max="13335" width="2.21875" style="105" customWidth="1"/>
    <col min="13336" max="13336" width="1.109375" style="105" customWidth="1"/>
    <col min="13337" max="13337" width="3.33203125" style="105" customWidth="1"/>
    <col min="13338" max="13338" width="1.109375" style="105" customWidth="1"/>
    <col min="13339" max="13339" width="2.21875" style="105" customWidth="1"/>
    <col min="13340" max="13341" width="3.33203125" style="105" customWidth="1"/>
    <col min="13342" max="13342" width="2.21875" style="105" customWidth="1"/>
    <col min="13343" max="13343" width="1.109375" style="105" customWidth="1"/>
    <col min="13344" max="13344" width="3.33203125" style="105" customWidth="1"/>
    <col min="13345" max="13345" width="1.109375" style="105" customWidth="1"/>
    <col min="13346" max="13346" width="2.21875" style="105" customWidth="1"/>
    <col min="13347" max="13348" width="3.33203125" style="105" customWidth="1"/>
    <col min="13349" max="13349" width="2.21875" style="105" customWidth="1"/>
    <col min="13350" max="13350" width="1.109375" style="105" customWidth="1"/>
    <col min="13351" max="13351" width="3.33203125" style="105" customWidth="1"/>
    <col min="13352" max="13352" width="1.109375" style="105" customWidth="1"/>
    <col min="13353" max="13353" width="2.21875" style="105" customWidth="1"/>
    <col min="13354" max="13355" width="3.33203125" style="105" customWidth="1"/>
    <col min="13356" max="13356" width="2.21875" style="105" customWidth="1"/>
    <col min="13357" max="13357" width="1.109375" style="105" customWidth="1"/>
    <col min="13358" max="13358" width="3.33203125" style="105" customWidth="1"/>
    <col min="13359" max="13359" width="1.109375" style="105" customWidth="1"/>
    <col min="13360" max="13360" width="2.21875" style="105" customWidth="1"/>
    <col min="13361" max="13362" width="3.33203125" style="105" customWidth="1"/>
    <col min="13363" max="13363" width="2.21875" style="105" customWidth="1"/>
    <col min="13364" max="13364" width="1.109375" style="105" customWidth="1"/>
    <col min="13365" max="13365" width="3.33203125" style="105" customWidth="1"/>
    <col min="13366" max="13366" width="1.109375" style="105" customWidth="1"/>
    <col min="13367" max="13367" width="0.21875" style="105" customWidth="1"/>
    <col min="13368" max="13368" width="2" style="105" customWidth="1"/>
    <col min="13369" max="13370" width="3.33203125" style="105" customWidth="1"/>
    <col min="13371" max="13371" width="2.21875" style="105" customWidth="1"/>
    <col min="13372" max="13372" width="1.109375" style="105" customWidth="1"/>
    <col min="13373" max="13373" width="4.44140625" style="105" customWidth="1"/>
    <col min="13374" max="13415" width="11.109375" style="105" customWidth="1"/>
    <col min="13416" max="13568" width="8.88671875" style="105"/>
    <col min="13569" max="13569" width="3.33203125" style="105" customWidth="1"/>
    <col min="13570" max="13570" width="2.21875" style="105" customWidth="1"/>
    <col min="13571" max="13571" width="1.109375" style="105" customWidth="1"/>
    <col min="13572" max="13572" width="3.33203125" style="105" customWidth="1"/>
    <col min="13573" max="13573" width="1.109375" style="105" customWidth="1"/>
    <col min="13574" max="13574" width="2.21875" style="105" customWidth="1"/>
    <col min="13575" max="13576" width="3.33203125" style="105" customWidth="1"/>
    <col min="13577" max="13577" width="2.21875" style="105" customWidth="1"/>
    <col min="13578" max="13578" width="1.109375" style="105" customWidth="1"/>
    <col min="13579" max="13579" width="3.33203125" style="105" customWidth="1"/>
    <col min="13580" max="13580" width="1.109375" style="105" customWidth="1"/>
    <col min="13581" max="13581" width="2.21875" style="105" customWidth="1"/>
    <col min="13582" max="13583" width="3.33203125" style="105" customWidth="1"/>
    <col min="13584" max="13584" width="2.21875" style="105" customWidth="1"/>
    <col min="13585" max="13585" width="1.109375" style="105" customWidth="1"/>
    <col min="13586" max="13586" width="3.33203125" style="105" customWidth="1"/>
    <col min="13587" max="13587" width="1.109375" style="105" customWidth="1"/>
    <col min="13588" max="13588" width="2.21875" style="105" customWidth="1"/>
    <col min="13589" max="13590" width="3.33203125" style="105" customWidth="1"/>
    <col min="13591" max="13591" width="2.21875" style="105" customWidth="1"/>
    <col min="13592" max="13592" width="1.109375" style="105" customWidth="1"/>
    <col min="13593" max="13593" width="3.33203125" style="105" customWidth="1"/>
    <col min="13594" max="13594" width="1.109375" style="105" customWidth="1"/>
    <col min="13595" max="13595" width="2.21875" style="105" customWidth="1"/>
    <col min="13596" max="13597" width="3.33203125" style="105" customWidth="1"/>
    <col min="13598" max="13598" width="2.21875" style="105" customWidth="1"/>
    <col min="13599" max="13599" width="1.109375" style="105" customWidth="1"/>
    <col min="13600" max="13600" width="3.33203125" style="105" customWidth="1"/>
    <col min="13601" max="13601" width="1.109375" style="105" customWidth="1"/>
    <col min="13602" max="13602" width="2.21875" style="105" customWidth="1"/>
    <col min="13603" max="13604" width="3.33203125" style="105" customWidth="1"/>
    <col min="13605" max="13605" width="2.21875" style="105" customWidth="1"/>
    <col min="13606" max="13606" width="1.109375" style="105" customWidth="1"/>
    <col min="13607" max="13607" width="3.33203125" style="105" customWidth="1"/>
    <col min="13608" max="13608" width="1.109375" style="105" customWidth="1"/>
    <col min="13609" max="13609" width="2.21875" style="105" customWidth="1"/>
    <col min="13610" max="13611" width="3.33203125" style="105" customWidth="1"/>
    <col min="13612" max="13612" width="2.21875" style="105" customWidth="1"/>
    <col min="13613" max="13613" width="1.109375" style="105" customWidth="1"/>
    <col min="13614" max="13614" width="3.33203125" style="105" customWidth="1"/>
    <col min="13615" max="13615" width="1.109375" style="105" customWidth="1"/>
    <col min="13616" max="13616" width="2.21875" style="105" customWidth="1"/>
    <col min="13617" max="13618" width="3.33203125" style="105" customWidth="1"/>
    <col min="13619" max="13619" width="2.21875" style="105" customWidth="1"/>
    <col min="13620" max="13620" width="1.109375" style="105" customWidth="1"/>
    <col min="13621" max="13621" width="3.33203125" style="105" customWidth="1"/>
    <col min="13622" max="13622" width="1.109375" style="105" customWidth="1"/>
    <col min="13623" max="13623" width="0.21875" style="105" customWidth="1"/>
    <col min="13624" max="13624" width="2" style="105" customWidth="1"/>
    <col min="13625" max="13626" width="3.33203125" style="105" customWidth="1"/>
    <col min="13627" max="13627" width="2.21875" style="105" customWidth="1"/>
    <col min="13628" max="13628" width="1.109375" style="105" customWidth="1"/>
    <col min="13629" max="13629" width="4.44140625" style="105" customWidth="1"/>
    <col min="13630" max="13671" width="11.109375" style="105" customWidth="1"/>
    <col min="13672" max="13824" width="8.88671875" style="105"/>
    <col min="13825" max="13825" width="3.33203125" style="105" customWidth="1"/>
    <col min="13826" max="13826" width="2.21875" style="105" customWidth="1"/>
    <col min="13827" max="13827" width="1.109375" style="105" customWidth="1"/>
    <col min="13828" max="13828" width="3.33203125" style="105" customWidth="1"/>
    <col min="13829" max="13829" width="1.109375" style="105" customWidth="1"/>
    <col min="13830" max="13830" width="2.21875" style="105" customWidth="1"/>
    <col min="13831" max="13832" width="3.33203125" style="105" customWidth="1"/>
    <col min="13833" max="13833" width="2.21875" style="105" customWidth="1"/>
    <col min="13834" max="13834" width="1.109375" style="105" customWidth="1"/>
    <col min="13835" max="13835" width="3.33203125" style="105" customWidth="1"/>
    <col min="13836" max="13836" width="1.109375" style="105" customWidth="1"/>
    <col min="13837" max="13837" width="2.21875" style="105" customWidth="1"/>
    <col min="13838" max="13839" width="3.33203125" style="105" customWidth="1"/>
    <col min="13840" max="13840" width="2.21875" style="105" customWidth="1"/>
    <col min="13841" max="13841" width="1.109375" style="105" customWidth="1"/>
    <col min="13842" max="13842" width="3.33203125" style="105" customWidth="1"/>
    <col min="13843" max="13843" width="1.109375" style="105" customWidth="1"/>
    <col min="13844" max="13844" width="2.21875" style="105" customWidth="1"/>
    <col min="13845" max="13846" width="3.33203125" style="105" customWidth="1"/>
    <col min="13847" max="13847" width="2.21875" style="105" customWidth="1"/>
    <col min="13848" max="13848" width="1.109375" style="105" customWidth="1"/>
    <col min="13849" max="13849" width="3.33203125" style="105" customWidth="1"/>
    <col min="13850" max="13850" width="1.109375" style="105" customWidth="1"/>
    <col min="13851" max="13851" width="2.21875" style="105" customWidth="1"/>
    <col min="13852" max="13853" width="3.33203125" style="105" customWidth="1"/>
    <col min="13854" max="13854" width="2.21875" style="105" customWidth="1"/>
    <col min="13855" max="13855" width="1.109375" style="105" customWidth="1"/>
    <col min="13856" max="13856" width="3.33203125" style="105" customWidth="1"/>
    <col min="13857" max="13857" width="1.109375" style="105" customWidth="1"/>
    <col min="13858" max="13858" width="2.21875" style="105" customWidth="1"/>
    <col min="13859" max="13860" width="3.33203125" style="105" customWidth="1"/>
    <col min="13861" max="13861" width="2.21875" style="105" customWidth="1"/>
    <col min="13862" max="13862" width="1.109375" style="105" customWidth="1"/>
    <col min="13863" max="13863" width="3.33203125" style="105" customWidth="1"/>
    <col min="13864" max="13864" width="1.109375" style="105" customWidth="1"/>
    <col min="13865" max="13865" width="2.21875" style="105" customWidth="1"/>
    <col min="13866" max="13867" width="3.33203125" style="105" customWidth="1"/>
    <col min="13868" max="13868" width="2.21875" style="105" customWidth="1"/>
    <col min="13869" max="13869" width="1.109375" style="105" customWidth="1"/>
    <col min="13870" max="13870" width="3.33203125" style="105" customWidth="1"/>
    <col min="13871" max="13871" width="1.109375" style="105" customWidth="1"/>
    <col min="13872" max="13872" width="2.21875" style="105" customWidth="1"/>
    <col min="13873" max="13874" width="3.33203125" style="105" customWidth="1"/>
    <col min="13875" max="13875" width="2.21875" style="105" customWidth="1"/>
    <col min="13876" max="13876" width="1.109375" style="105" customWidth="1"/>
    <col min="13877" max="13877" width="3.33203125" style="105" customWidth="1"/>
    <col min="13878" max="13878" width="1.109375" style="105" customWidth="1"/>
    <col min="13879" max="13879" width="0.21875" style="105" customWidth="1"/>
    <col min="13880" max="13880" width="2" style="105" customWidth="1"/>
    <col min="13881" max="13882" width="3.33203125" style="105" customWidth="1"/>
    <col min="13883" max="13883" width="2.21875" style="105" customWidth="1"/>
    <col min="13884" max="13884" width="1.109375" style="105" customWidth="1"/>
    <col min="13885" max="13885" width="4.44140625" style="105" customWidth="1"/>
    <col min="13886" max="13927" width="11.109375" style="105" customWidth="1"/>
    <col min="13928" max="14080" width="8.88671875" style="105"/>
    <col min="14081" max="14081" width="3.33203125" style="105" customWidth="1"/>
    <col min="14082" max="14082" width="2.21875" style="105" customWidth="1"/>
    <col min="14083" max="14083" width="1.109375" style="105" customWidth="1"/>
    <col min="14084" max="14084" width="3.33203125" style="105" customWidth="1"/>
    <col min="14085" max="14085" width="1.109375" style="105" customWidth="1"/>
    <col min="14086" max="14086" width="2.21875" style="105" customWidth="1"/>
    <col min="14087" max="14088" width="3.33203125" style="105" customWidth="1"/>
    <col min="14089" max="14089" width="2.21875" style="105" customWidth="1"/>
    <col min="14090" max="14090" width="1.109375" style="105" customWidth="1"/>
    <col min="14091" max="14091" width="3.33203125" style="105" customWidth="1"/>
    <col min="14092" max="14092" width="1.109375" style="105" customWidth="1"/>
    <col min="14093" max="14093" width="2.21875" style="105" customWidth="1"/>
    <col min="14094" max="14095" width="3.33203125" style="105" customWidth="1"/>
    <col min="14096" max="14096" width="2.21875" style="105" customWidth="1"/>
    <col min="14097" max="14097" width="1.109375" style="105" customWidth="1"/>
    <col min="14098" max="14098" width="3.33203125" style="105" customWidth="1"/>
    <col min="14099" max="14099" width="1.109375" style="105" customWidth="1"/>
    <col min="14100" max="14100" width="2.21875" style="105" customWidth="1"/>
    <col min="14101" max="14102" width="3.33203125" style="105" customWidth="1"/>
    <col min="14103" max="14103" width="2.21875" style="105" customWidth="1"/>
    <col min="14104" max="14104" width="1.109375" style="105" customWidth="1"/>
    <col min="14105" max="14105" width="3.33203125" style="105" customWidth="1"/>
    <col min="14106" max="14106" width="1.109375" style="105" customWidth="1"/>
    <col min="14107" max="14107" width="2.21875" style="105" customWidth="1"/>
    <col min="14108" max="14109" width="3.33203125" style="105" customWidth="1"/>
    <col min="14110" max="14110" width="2.21875" style="105" customWidth="1"/>
    <col min="14111" max="14111" width="1.109375" style="105" customWidth="1"/>
    <col min="14112" max="14112" width="3.33203125" style="105" customWidth="1"/>
    <col min="14113" max="14113" width="1.109375" style="105" customWidth="1"/>
    <col min="14114" max="14114" width="2.21875" style="105" customWidth="1"/>
    <col min="14115" max="14116" width="3.33203125" style="105" customWidth="1"/>
    <col min="14117" max="14117" width="2.21875" style="105" customWidth="1"/>
    <col min="14118" max="14118" width="1.109375" style="105" customWidth="1"/>
    <col min="14119" max="14119" width="3.33203125" style="105" customWidth="1"/>
    <col min="14120" max="14120" width="1.109375" style="105" customWidth="1"/>
    <col min="14121" max="14121" width="2.21875" style="105" customWidth="1"/>
    <col min="14122" max="14123" width="3.33203125" style="105" customWidth="1"/>
    <col min="14124" max="14124" width="2.21875" style="105" customWidth="1"/>
    <col min="14125" max="14125" width="1.109375" style="105" customWidth="1"/>
    <col min="14126" max="14126" width="3.33203125" style="105" customWidth="1"/>
    <col min="14127" max="14127" width="1.109375" style="105" customWidth="1"/>
    <col min="14128" max="14128" width="2.21875" style="105" customWidth="1"/>
    <col min="14129" max="14130" width="3.33203125" style="105" customWidth="1"/>
    <col min="14131" max="14131" width="2.21875" style="105" customWidth="1"/>
    <col min="14132" max="14132" width="1.109375" style="105" customWidth="1"/>
    <col min="14133" max="14133" width="3.33203125" style="105" customWidth="1"/>
    <col min="14134" max="14134" width="1.109375" style="105" customWidth="1"/>
    <col min="14135" max="14135" width="0.21875" style="105" customWidth="1"/>
    <col min="14136" max="14136" width="2" style="105" customWidth="1"/>
    <col min="14137" max="14138" width="3.33203125" style="105" customWidth="1"/>
    <col min="14139" max="14139" width="2.21875" style="105" customWidth="1"/>
    <col min="14140" max="14140" width="1.109375" style="105" customWidth="1"/>
    <col min="14141" max="14141" width="4.44140625" style="105" customWidth="1"/>
    <col min="14142" max="14183" width="11.109375" style="105" customWidth="1"/>
    <col min="14184" max="14336" width="8.88671875" style="105"/>
    <col min="14337" max="14337" width="3.33203125" style="105" customWidth="1"/>
    <col min="14338" max="14338" width="2.21875" style="105" customWidth="1"/>
    <col min="14339" max="14339" width="1.109375" style="105" customWidth="1"/>
    <col min="14340" max="14340" width="3.33203125" style="105" customWidth="1"/>
    <col min="14341" max="14341" width="1.109375" style="105" customWidth="1"/>
    <col min="14342" max="14342" width="2.21875" style="105" customWidth="1"/>
    <col min="14343" max="14344" width="3.33203125" style="105" customWidth="1"/>
    <col min="14345" max="14345" width="2.21875" style="105" customWidth="1"/>
    <col min="14346" max="14346" width="1.109375" style="105" customWidth="1"/>
    <col min="14347" max="14347" width="3.33203125" style="105" customWidth="1"/>
    <col min="14348" max="14348" width="1.109375" style="105" customWidth="1"/>
    <col min="14349" max="14349" width="2.21875" style="105" customWidth="1"/>
    <col min="14350" max="14351" width="3.33203125" style="105" customWidth="1"/>
    <col min="14352" max="14352" width="2.21875" style="105" customWidth="1"/>
    <col min="14353" max="14353" width="1.109375" style="105" customWidth="1"/>
    <col min="14354" max="14354" width="3.33203125" style="105" customWidth="1"/>
    <col min="14355" max="14355" width="1.109375" style="105" customWidth="1"/>
    <col min="14356" max="14356" width="2.21875" style="105" customWidth="1"/>
    <col min="14357" max="14358" width="3.33203125" style="105" customWidth="1"/>
    <col min="14359" max="14359" width="2.21875" style="105" customWidth="1"/>
    <col min="14360" max="14360" width="1.109375" style="105" customWidth="1"/>
    <col min="14361" max="14361" width="3.33203125" style="105" customWidth="1"/>
    <col min="14362" max="14362" width="1.109375" style="105" customWidth="1"/>
    <col min="14363" max="14363" width="2.21875" style="105" customWidth="1"/>
    <col min="14364" max="14365" width="3.33203125" style="105" customWidth="1"/>
    <col min="14366" max="14366" width="2.21875" style="105" customWidth="1"/>
    <col min="14367" max="14367" width="1.109375" style="105" customWidth="1"/>
    <col min="14368" max="14368" width="3.33203125" style="105" customWidth="1"/>
    <col min="14369" max="14369" width="1.109375" style="105" customWidth="1"/>
    <col min="14370" max="14370" width="2.21875" style="105" customWidth="1"/>
    <col min="14371" max="14372" width="3.33203125" style="105" customWidth="1"/>
    <col min="14373" max="14373" width="2.21875" style="105" customWidth="1"/>
    <col min="14374" max="14374" width="1.109375" style="105" customWidth="1"/>
    <col min="14375" max="14375" width="3.33203125" style="105" customWidth="1"/>
    <col min="14376" max="14376" width="1.109375" style="105" customWidth="1"/>
    <col min="14377" max="14377" width="2.21875" style="105" customWidth="1"/>
    <col min="14378" max="14379" width="3.33203125" style="105" customWidth="1"/>
    <col min="14380" max="14380" width="2.21875" style="105" customWidth="1"/>
    <col min="14381" max="14381" width="1.109375" style="105" customWidth="1"/>
    <col min="14382" max="14382" width="3.33203125" style="105" customWidth="1"/>
    <col min="14383" max="14383" width="1.109375" style="105" customWidth="1"/>
    <col min="14384" max="14384" width="2.21875" style="105" customWidth="1"/>
    <col min="14385" max="14386" width="3.33203125" style="105" customWidth="1"/>
    <col min="14387" max="14387" width="2.21875" style="105" customWidth="1"/>
    <col min="14388" max="14388" width="1.109375" style="105" customWidth="1"/>
    <col min="14389" max="14389" width="3.33203125" style="105" customWidth="1"/>
    <col min="14390" max="14390" width="1.109375" style="105" customWidth="1"/>
    <col min="14391" max="14391" width="0.21875" style="105" customWidth="1"/>
    <col min="14392" max="14392" width="2" style="105" customWidth="1"/>
    <col min="14393" max="14394" width="3.33203125" style="105" customWidth="1"/>
    <col min="14395" max="14395" width="2.21875" style="105" customWidth="1"/>
    <col min="14396" max="14396" width="1.109375" style="105" customWidth="1"/>
    <col min="14397" max="14397" width="4.44140625" style="105" customWidth="1"/>
    <col min="14398" max="14439" width="11.109375" style="105" customWidth="1"/>
    <col min="14440" max="14592" width="8.88671875" style="105"/>
    <col min="14593" max="14593" width="3.33203125" style="105" customWidth="1"/>
    <col min="14594" max="14594" width="2.21875" style="105" customWidth="1"/>
    <col min="14595" max="14595" width="1.109375" style="105" customWidth="1"/>
    <col min="14596" max="14596" width="3.33203125" style="105" customWidth="1"/>
    <col min="14597" max="14597" width="1.109375" style="105" customWidth="1"/>
    <col min="14598" max="14598" width="2.21875" style="105" customWidth="1"/>
    <col min="14599" max="14600" width="3.33203125" style="105" customWidth="1"/>
    <col min="14601" max="14601" width="2.21875" style="105" customWidth="1"/>
    <col min="14602" max="14602" width="1.109375" style="105" customWidth="1"/>
    <col min="14603" max="14603" width="3.33203125" style="105" customWidth="1"/>
    <col min="14604" max="14604" width="1.109375" style="105" customWidth="1"/>
    <col min="14605" max="14605" width="2.21875" style="105" customWidth="1"/>
    <col min="14606" max="14607" width="3.33203125" style="105" customWidth="1"/>
    <col min="14608" max="14608" width="2.21875" style="105" customWidth="1"/>
    <col min="14609" max="14609" width="1.109375" style="105" customWidth="1"/>
    <col min="14610" max="14610" width="3.33203125" style="105" customWidth="1"/>
    <col min="14611" max="14611" width="1.109375" style="105" customWidth="1"/>
    <col min="14612" max="14612" width="2.21875" style="105" customWidth="1"/>
    <col min="14613" max="14614" width="3.33203125" style="105" customWidth="1"/>
    <col min="14615" max="14615" width="2.21875" style="105" customWidth="1"/>
    <col min="14616" max="14616" width="1.109375" style="105" customWidth="1"/>
    <col min="14617" max="14617" width="3.33203125" style="105" customWidth="1"/>
    <col min="14618" max="14618" width="1.109375" style="105" customWidth="1"/>
    <col min="14619" max="14619" width="2.21875" style="105" customWidth="1"/>
    <col min="14620" max="14621" width="3.33203125" style="105" customWidth="1"/>
    <col min="14622" max="14622" width="2.21875" style="105" customWidth="1"/>
    <col min="14623" max="14623" width="1.109375" style="105" customWidth="1"/>
    <col min="14624" max="14624" width="3.33203125" style="105" customWidth="1"/>
    <col min="14625" max="14625" width="1.109375" style="105" customWidth="1"/>
    <col min="14626" max="14626" width="2.21875" style="105" customWidth="1"/>
    <col min="14627" max="14628" width="3.33203125" style="105" customWidth="1"/>
    <col min="14629" max="14629" width="2.21875" style="105" customWidth="1"/>
    <col min="14630" max="14630" width="1.109375" style="105" customWidth="1"/>
    <col min="14631" max="14631" width="3.33203125" style="105" customWidth="1"/>
    <col min="14632" max="14632" width="1.109375" style="105" customWidth="1"/>
    <col min="14633" max="14633" width="2.21875" style="105" customWidth="1"/>
    <col min="14634" max="14635" width="3.33203125" style="105" customWidth="1"/>
    <col min="14636" max="14636" width="2.21875" style="105" customWidth="1"/>
    <col min="14637" max="14637" width="1.109375" style="105" customWidth="1"/>
    <col min="14638" max="14638" width="3.33203125" style="105" customWidth="1"/>
    <col min="14639" max="14639" width="1.109375" style="105" customWidth="1"/>
    <col min="14640" max="14640" width="2.21875" style="105" customWidth="1"/>
    <col min="14641" max="14642" width="3.33203125" style="105" customWidth="1"/>
    <col min="14643" max="14643" width="2.21875" style="105" customWidth="1"/>
    <col min="14644" max="14644" width="1.109375" style="105" customWidth="1"/>
    <col min="14645" max="14645" width="3.33203125" style="105" customWidth="1"/>
    <col min="14646" max="14646" width="1.109375" style="105" customWidth="1"/>
    <col min="14647" max="14647" width="0.21875" style="105" customWidth="1"/>
    <col min="14648" max="14648" width="2" style="105" customWidth="1"/>
    <col min="14649" max="14650" width="3.33203125" style="105" customWidth="1"/>
    <col min="14651" max="14651" width="2.21875" style="105" customWidth="1"/>
    <col min="14652" max="14652" width="1.109375" style="105" customWidth="1"/>
    <col min="14653" max="14653" width="4.44140625" style="105" customWidth="1"/>
    <col min="14654" max="14695" width="11.109375" style="105" customWidth="1"/>
    <col min="14696" max="14848" width="8.88671875" style="105"/>
    <col min="14849" max="14849" width="3.33203125" style="105" customWidth="1"/>
    <col min="14850" max="14850" width="2.21875" style="105" customWidth="1"/>
    <col min="14851" max="14851" width="1.109375" style="105" customWidth="1"/>
    <col min="14852" max="14852" width="3.33203125" style="105" customWidth="1"/>
    <col min="14853" max="14853" width="1.109375" style="105" customWidth="1"/>
    <col min="14854" max="14854" width="2.21875" style="105" customWidth="1"/>
    <col min="14855" max="14856" width="3.33203125" style="105" customWidth="1"/>
    <col min="14857" max="14857" width="2.21875" style="105" customWidth="1"/>
    <col min="14858" max="14858" width="1.109375" style="105" customWidth="1"/>
    <col min="14859" max="14859" width="3.33203125" style="105" customWidth="1"/>
    <col min="14860" max="14860" width="1.109375" style="105" customWidth="1"/>
    <col min="14861" max="14861" width="2.21875" style="105" customWidth="1"/>
    <col min="14862" max="14863" width="3.33203125" style="105" customWidth="1"/>
    <col min="14864" max="14864" width="2.21875" style="105" customWidth="1"/>
    <col min="14865" max="14865" width="1.109375" style="105" customWidth="1"/>
    <col min="14866" max="14866" width="3.33203125" style="105" customWidth="1"/>
    <col min="14867" max="14867" width="1.109375" style="105" customWidth="1"/>
    <col min="14868" max="14868" width="2.21875" style="105" customWidth="1"/>
    <col min="14869" max="14870" width="3.33203125" style="105" customWidth="1"/>
    <col min="14871" max="14871" width="2.21875" style="105" customWidth="1"/>
    <col min="14872" max="14872" width="1.109375" style="105" customWidth="1"/>
    <col min="14873" max="14873" width="3.33203125" style="105" customWidth="1"/>
    <col min="14874" max="14874" width="1.109375" style="105" customWidth="1"/>
    <col min="14875" max="14875" width="2.21875" style="105" customWidth="1"/>
    <col min="14876" max="14877" width="3.33203125" style="105" customWidth="1"/>
    <col min="14878" max="14878" width="2.21875" style="105" customWidth="1"/>
    <col min="14879" max="14879" width="1.109375" style="105" customWidth="1"/>
    <col min="14880" max="14880" width="3.33203125" style="105" customWidth="1"/>
    <col min="14881" max="14881" width="1.109375" style="105" customWidth="1"/>
    <col min="14882" max="14882" width="2.21875" style="105" customWidth="1"/>
    <col min="14883" max="14884" width="3.33203125" style="105" customWidth="1"/>
    <col min="14885" max="14885" width="2.21875" style="105" customWidth="1"/>
    <col min="14886" max="14886" width="1.109375" style="105" customWidth="1"/>
    <col min="14887" max="14887" width="3.33203125" style="105" customWidth="1"/>
    <col min="14888" max="14888" width="1.109375" style="105" customWidth="1"/>
    <col min="14889" max="14889" width="2.21875" style="105" customWidth="1"/>
    <col min="14890" max="14891" width="3.33203125" style="105" customWidth="1"/>
    <col min="14892" max="14892" width="2.21875" style="105" customWidth="1"/>
    <col min="14893" max="14893" width="1.109375" style="105" customWidth="1"/>
    <col min="14894" max="14894" width="3.33203125" style="105" customWidth="1"/>
    <col min="14895" max="14895" width="1.109375" style="105" customWidth="1"/>
    <col min="14896" max="14896" width="2.21875" style="105" customWidth="1"/>
    <col min="14897" max="14898" width="3.33203125" style="105" customWidth="1"/>
    <col min="14899" max="14899" width="2.21875" style="105" customWidth="1"/>
    <col min="14900" max="14900" width="1.109375" style="105" customWidth="1"/>
    <col min="14901" max="14901" width="3.33203125" style="105" customWidth="1"/>
    <col min="14902" max="14902" width="1.109375" style="105" customWidth="1"/>
    <col min="14903" max="14903" width="0.21875" style="105" customWidth="1"/>
    <col min="14904" max="14904" width="2" style="105" customWidth="1"/>
    <col min="14905" max="14906" width="3.33203125" style="105" customWidth="1"/>
    <col min="14907" max="14907" width="2.21875" style="105" customWidth="1"/>
    <col min="14908" max="14908" width="1.109375" style="105" customWidth="1"/>
    <col min="14909" max="14909" width="4.44140625" style="105" customWidth="1"/>
    <col min="14910" max="14951" width="11.109375" style="105" customWidth="1"/>
    <col min="14952" max="15104" width="8.88671875" style="105"/>
    <col min="15105" max="15105" width="3.33203125" style="105" customWidth="1"/>
    <col min="15106" max="15106" width="2.21875" style="105" customWidth="1"/>
    <col min="15107" max="15107" width="1.109375" style="105" customWidth="1"/>
    <col min="15108" max="15108" width="3.33203125" style="105" customWidth="1"/>
    <col min="15109" max="15109" width="1.109375" style="105" customWidth="1"/>
    <col min="15110" max="15110" width="2.21875" style="105" customWidth="1"/>
    <col min="15111" max="15112" width="3.33203125" style="105" customWidth="1"/>
    <col min="15113" max="15113" width="2.21875" style="105" customWidth="1"/>
    <col min="15114" max="15114" width="1.109375" style="105" customWidth="1"/>
    <col min="15115" max="15115" width="3.33203125" style="105" customWidth="1"/>
    <col min="15116" max="15116" width="1.109375" style="105" customWidth="1"/>
    <col min="15117" max="15117" width="2.21875" style="105" customWidth="1"/>
    <col min="15118" max="15119" width="3.33203125" style="105" customWidth="1"/>
    <col min="15120" max="15120" width="2.21875" style="105" customWidth="1"/>
    <col min="15121" max="15121" width="1.109375" style="105" customWidth="1"/>
    <col min="15122" max="15122" width="3.33203125" style="105" customWidth="1"/>
    <col min="15123" max="15123" width="1.109375" style="105" customWidth="1"/>
    <col min="15124" max="15124" width="2.21875" style="105" customWidth="1"/>
    <col min="15125" max="15126" width="3.33203125" style="105" customWidth="1"/>
    <col min="15127" max="15127" width="2.21875" style="105" customWidth="1"/>
    <col min="15128" max="15128" width="1.109375" style="105" customWidth="1"/>
    <col min="15129" max="15129" width="3.33203125" style="105" customWidth="1"/>
    <col min="15130" max="15130" width="1.109375" style="105" customWidth="1"/>
    <col min="15131" max="15131" width="2.21875" style="105" customWidth="1"/>
    <col min="15132" max="15133" width="3.33203125" style="105" customWidth="1"/>
    <col min="15134" max="15134" width="2.21875" style="105" customWidth="1"/>
    <col min="15135" max="15135" width="1.109375" style="105" customWidth="1"/>
    <col min="15136" max="15136" width="3.33203125" style="105" customWidth="1"/>
    <col min="15137" max="15137" width="1.109375" style="105" customWidth="1"/>
    <col min="15138" max="15138" width="2.21875" style="105" customWidth="1"/>
    <col min="15139" max="15140" width="3.33203125" style="105" customWidth="1"/>
    <col min="15141" max="15141" width="2.21875" style="105" customWidth="1"/>
    <col min="15142" max="15142" width="1.109375" style="105" customWidth="1"/>
    <col min="15143" max="15143" width="3.33203125" style="105" customWidth="1"/>
    <col min="15144" max="15144" width="1.109375" style="105" customWidth="1"/>
    <col min="15145" max="15145" width="2.21875" style="105" customWidth="1"/>
    <col min="15146" max="15147" width="3.33203125" style="105" customWidth="1"/>
    <col min="15148" max="15148" width="2.21875" style="105" customWidth="1"/>
    <col min="15149" max="15149" width="1.109375" style="105" customWidth="1"/>
    <col min="15150" max="15150" width="3.33203125" style="105" customWidth="1"/>
    <col min="15151" max="15151" width="1.109375" style="105" customWidth="1"/>
    <col min="15152" max="15152" width="2.21875" style="105" customWidth="1"/>
    <col min="15153" max="15154" width="3.33203125" style="105" customWidth="1"/>
    <col min="15155" max="15155" width="2.21875" style="105" customWidth="1"/>
    <col min="15156" max="15156" width="1.109375" style="105" customWidth="1"/>
    <col min="15157" max="15157" width="3.33203125" style="105" customWidth="1"/>
    <col min="15158" max="15158" width="1.109375" style="105" customWidth="1"/>
    <col min="15159" max="15159" width="0.21875" style="105" customWidth="1"/>
    <col min="15160" max="15160" width="2" style="105" customWidth="1"/>
    <col min="15161" max="15162" width="3.33203125" style="105" customWidth="1"/>
    <col min="15163" max="15163" width="2.21875" style="105" customWidth="1"/>
    <col min="15164" max="15164" width="1.109375" style="105" customWidth="1"/>
    <col min="15165" max="15165" width="4.44140625" style="105" customWidth="1"/>
    <col min="15166" max="15207" width="11.109375" style="105" customWidth="1"/>
    <col min="15208" max="15360" width="8.88671875" style="105"/>
    <col min="15361" max="15361" width="3.33203125" style="105" customWidth="1"/>
    <col min="15362" max="15362" width="2.21875" style="105" customWidth="1"/>
    <col min="15363" max="15363" width="1.109375" style="105" customWidth="1"/>
    <col min="15364" max="15364" width="3.33203125" style="105" customWidth="1"/>
    <col min="15365" max="15365" width="1.109375" style="105" customWidth="1"/>
    <col min="15366" max="15366" width="2.21875" style="105" customWidth="1"/>
    <col min="15367" max="15368" width="3.33203125" style="105" customWidth="1"/>
    <col min="15369" max="15369" width="2.21875" style="105" customWidth="1"/>
    <col min="15370" max="15370" width="1.109375" style="105" customWidth="1"/>
    <col min="15371" max="15371" width="3.33203125" style="105" customWidth="1"/>
    <col min="15372" max="15372" width="1.109375" style="105" customWidth="1"/>
    <col min="15373" max="15373" width="2.21875" style="105" customWidth="1"/>
    <col min="15374" max="15375" width="3.33203125" style="105" customWidth="1"/>
    <col min="15376" max="15376" width="2.21875" style="105" customWidth="1"/>
    <col min="15377" max="15377" width="1.109375" style="105" customWidth="1"/>
    <col min="15378" max="15378" width="3.33203125" style="105" customWidth="1"/>
    <col min="15379" max="15379" width="1.109375" style="105" customWidth="1"/>
    <col min="15380" max="15380" width="2.21875" style="105" customWidth="1"/>
    <col min="15381" max="15382" width="3.33203125" style="105" customWidth="1"/>
    <col min="15383" max="15383" width="2.21875" style="105" customWidth="1"/>
    <col min="15384" max="15384" width="1.109375" style="105" customWidth="1"/>
    <col min="15385" max="15385" width="3.33203125" style="105" customWidth="1"/>
    <col min="15386" max="15386" width="1.109375" style="105" customWidth="1"/>
    <col min="15387" max="15387" width="2.21875" style="105" customWidth="1"/>
    <col min="15388" max="15389" width="3.33203125" style="105" customWidth="1"/>
    <col min="15390" max="15390" width="2.21875" style="105" customWidth="1"/>
    <col min="15391" max="15391" width="1.109375" style="105" customWidth="1"/>
    <col min="15392" max="15392" width="3.33203125" style="105" customWidth="1"/>
    <col min="15393" max="15393" width="1.109375" style="105" customWidth="1"/>
    <col min="15394" max="15394" width="2.21875" style="105" customWidth="1"/>
    <col min="15395" max="15396" width="3.33203125" style="105" customWidth="1"/>
    <col min="15397" max="15397" width="2.21875" style="105" customWidth="1"/>
    <col min="15398" max="15398" width="1.109375" style="105" customWidth="1"/>
    <col min="15399" max="15399" width="3.33203125" style="105" customWidth="1"/>
    <col min="15400" max="15400" width="1.109375" style="105" customWidth="1"/>
    <col min="15401" max="15401" width="2.21875" style="105" customWidth="1"/>
    <col min="15402" max="15403" width="3.33203125" style="105" customWidth="1"/>
    <col min="15404" max="15404" width="2.21875" style="105" customWidth="1"/>
    <col min="15405" max="15405" width="1.109375" style="105" customWidth="1"/>
    <col min="15406" max="15406" width="3.33203125" style="105" customWidth="1"/>
    <col min="15407" max="15407" width="1.109375" style="105" customWidth="1"/>
    <col min="15408" max="15408" width="2.21875" style="105" customWidth="1"/>
    <col min="15409" max="15410" width="3.33203125" style="105" customWidth="1"/>
    <col min="15411" max="15411" width="2.21875" style="105" customWidth="1"/>
    <col min="15412" max="15412" width="1.109375" style="105" customWidth="1"/>
    <col min="15413" max="15413" width="3.33203125" style="105" customWidth="1"/>
    <col min="15414" max="15414" width="1.109375" style="105" customWidth="1"/>
    <col min="15415" max="15415" width="0.21875" style="105" customWidth="1"/>
    <col min="15416" max="15416" width="2" style="105" customWidth="1"/>
    <col min="15417" max="15418" width="3.33203125" style="105" customWidth="1"/>
    <col min="15419" max="15419" width="2.21875" style="105" customWidth="1"/>
    <col min="15420" max="15420" width="1.109375" style="105" customWidth="1"/>
    <col min="15421" max="15421" width="4.44140625" style="105" customWidth="1"/>
    <col min="15422" max="15463" width="11.109375" style="105" customWidth="1"/>
    <col min="15464" max="15616" width="8.88671875" style="105"/>
    <col min="15617" max="15617" width="3.33203125" style="105" customWidth="1"/>
    <col min="15618" max="15618" width="2.21875" style="105" customWidth="1"/>
    <col min="15619" max="15619" width="1.109375" style="105" customWidth="1"/>
    <col min="15620" max="15620" width="3.33203125" style="105" customWidth="1"/>
    <col min="15621" max="15621" width="1.109375" style="105" customWidth="1"/>
    <col min="15622" max="15622" width="2.21875" style="105" customWidth="1"/>
    <col min="15623" max="15624" width="3.33203125" style="105" customWidth="1"/>
    <col min="15625" max="15625" width="2.21875" style="105" customWidth="1"/>
    <col min="15626" max="15626" width="1.109375" style="105" customWidth="1"/>
    <col min="15627" max="15627" width="3.33203125" style="105" customWidth="1"/>
    <col min="15628" max="15628" width="1.109375" style="105" customWidth="1"/>
    <col min="15629" max="15629" width="2.21875" style="105" customWidth="1"/>
    <col min="15630" max="15631" width="3.33203125" style="105" customWidth="1"/>
    <col min="15632" max="15632" width="2.21875" style="105" customWidth="1"/>
    <col min="15633" max="15633" width="1.109375" style="105" customWidth="1"/>
    <col min="15634" max="15634" width="3.33203125" style="105" customWidth="1"/>
    <col min="15635" max="15635" width="1.109375" style="105" customWidth="1"/>
    <col min="15636" max="15636" width="2.21875" style="105" customWidth="1"/>
    <col min="15637" max="15638" width="3.33203125" style="105" customWidth="1"/>
    <col min="15639" max="15639" width="2.21875" style="105" customWidth="1"/>
    <col min="15640" max="15640" width="1.109375" style="105" customWidth="1"/>
    <col min="15641" max="15641" width="3.33203125" style="105" customWidth="1"/>
    <col min="15642" max="15642" width="1.109375" style="105" customWidth="1"/>
    <col min="15643" max="15643" width="2.21875" style="105" customWidth="1"/>
    <col min="15644" max="15645" width="3.33203125" style="105" customWidth="1"/>
    <col min="15646" max="15646" width="2.21875" style="105" customWidth="1"/>
    <col min="15647" max="15647" width="1.109375" style="105" customWidth="1"/>
    <col min="15648" max="15648" width="3.33203125" style="105" customWidth="1"/>
    <col min="15649" max="15649" width="1.109375" style="105" customWidth="1"/>
    <col min="15650" max="15650" width="2.21875" style="105" customWidth="1"/>
    <col min="15651" max="15652" width="3.33203125" style="105" customWidth="1"/>
    <col min="15653" max="15653" width="2.21875" style="105" customWidth="1"/>
    <col min="15654" max="15654" width="1.109375" style="105" customWidth="1"/>
    <col min="15655" max="15655" width="3.33203125" style="105" customWidth="1"/>
    <col min="15656" max="15656" width="1.109375" style="105" customWidth="1"/>
    <col min="15657" max="15657" width="2.21875" style="105" customWidth="1"/>
    <col min="15658" max="15659" width="3.33203125" style="105" customWidth="1"/>
    <col min="15660" max="15660" width="2.21875" style="105" customWidth="1"/>
    <col min="15661" max="15661" width="1.109375" style="105" customWidth="1"/>
    <col min="15662" max="15662" width="3.33203125" style="105" customWidth="1"/>
    <col min="15663" max="15663" width="1.109375" style="105" customWidth="1"/>
    <col min="15664" max="15664" width="2.21875" style="105" customWidth="1"/>
    <col min="15665" max="15666" width="3.33203125" style="105" customWidth="1"/>
    <col min="15667" max="15667" width="2.21875" style="105" customWidth="1"/>
    <col min="15668" max="15668" width="1.109375" style="105" customWidth="1"/>
    <col min="15669" max="15669" width="3.33203125" style="105" customWidth="1"/>
    <col min="15670" max="15670" width="1.109375" style="105" customWidth="1"/>
    <col min="15671" max="15671" width="0.21875" style="105" customWidth="1"/>
    <col min="15672" max="15672" width="2" style="105" customWidth="1"/>
    <col min="15673" max="15674" width="3.33203125" style="105" customWidth="1"/>
    <col min="15675" max="15675" width="2.21875" style="105" customWidth="1"/>
    <col min="15676" max="15676" width="1.109375" style="105" customWidth="1"/>
    <col min="15677" max="15677" width="4.44140625" style="105" customWidth="1"/>
    <col min="15678" max="15719" width="11.109375" style="105" customWidth="1"/>
    <col min="15720" max="15872" width="8.88671875" style="105"/>
    <col min="15873" max="15873" width="3.33203125" style="105" customWidth="1"/>
    <col min="15874" max="15874" width="2.21875" style="105" customWidth="1"/>
    <col min="15875" max="15875" width="1.109375" style="105" customWidth="1"/>
    <col min="15876" max="15876" width="3.33203125" style="105" customWidth="1"/>
    <col min="15877" max="15877" width="1.109375" style="105" customWidth="1"/>
    <col min="15878" max="15878" width="2.21875" style="105" customWidth="1"/>
    <col min="15879" max="15880" width="3.33203125" style="105" customWidth="1"/>
    <col min="15881" max="15881" width="2.21875" style="105" customWidth="1"/>
    <col min="15882" max="15882" width="1.109375" style="105" customWidth="1"/>
    <col min="15883" max="15883" width="3.33203125" style="105" customWidth="1"/>
    <col min="15884" max="15884" width="1.109375" style="105" customWidth="1"/>
    <col min="15885" max="15885" width="2.21875" style="105" customWidth="1"/>
    <col min="15886" max="15887" width="3.33203125" style="105" customWidth="1"/>
    <col min="15888" max="15888" width="2.21875" style="105" customWidth="1"/>
    <col min="15889" max="15889" width="1.109375" style="105" customWidth="1"/>
    <col min="15890" max="15890" width="3.33203125" style="105" customWidth="1"/>
    <col min="15891" max="15891" width="1.109375" style="105" customWidth="1"/>
    <col min="15892" max="15892" width="2.21875" style="105" customWidth="1"/>
    <col min="15893" max="15894" width="3.33203125" style="105" customWidth="1"/>
    <col min="15895" max="15895" width="2.21875" style="105" customWidth="1"/>
    <col min="15896" max="15896" width="1.109375" style="105" customWidth="1"/>
    <col min="15897" max="15897" width="3.33203125" style="105" customWidth="1"/>
    <col min="15898" max="15898" width="1.109375" style="105" customWidth="1"/>
    <col min="15899" max="15899" width="2.21875" style="105" customWidth="1"/>
    <col min="15900" max="15901" width="3.33203125" style="105" customWidth="1"/>
    <col min="15902" max="15902" width="2.21875" style="105" customWidth="1"/>
    <col min="15903" max="15903" width="1.109375" style="105" customWidth="1"/>
    <col min="15904" max="15904" width="3.33203125" style="105" customWidth="1"/>
    <col min="15905" max="15905" width="1.109375" style="105" customWidth="1"/>
    <col min="15906" max="15906" width="2.21875" style="105" customWidth="1"/>
    <col min="15907" max="15908" width="3.33203125" style="105" customWidth="1"/>
    <col min="15909" max="15909" width="2.21875" style="105" customWidth="1"/>
    <col min="15910" max="15910" width="1.109375" style="105" customWidth="1"/>
    <col min="15911" max="15911" width="3.33203125" style="105" customWidth="1"/>
    <col min="15912" max="15912" width="1.109375" style="105" customWidth="1"/>
    <col min="15913" max="15913" width="2.21875" style="105" customWidth="1"/>
    <col min="15914" max="15915" width="3.33203125" style="105" customWidth="1"/>
    <col min="15916" max="15916" width="2.21875" style="105" customWidth="1"/>
    <col min="15917" max="15917" width="1.109375" style="105" customWidth="1"/>
    <col min="15918" max="15918" width="3.33203125" style="105" customWidth="1"/>
    <col min="15919" max="15919" width="1.109375" style="105" customWidth="1"/>
    <col min="15920" max="15920" width="2.21875" style="105" customWidth="1"/>
    <col min="15921" max="15922" width="3.33203125" style="105" customWidth="1"/>
    <col min="15923" max="15923" width="2.21875" style="105" customWidth="1"/>
    <col min="15924" max="15924" width="1.109375" style="105" customWidth="1"/>
    <col min="15925" max="15925" width="3.33203125" style="105" customWidth="1"/>
    <col min="15926" max="15926" width="1.109375" style="105" customWidth="1"/>
    <col min="15927" max="15927" width="0.21875" style="105" customWidth="1"/>
    <col min="15928" max="15928" width="2" style="105" customWidth="1"/>
    <col min="15929" max="15930" width="3.33203125" style="105" customWidth="1"/>
    <col min="15931" max="15931" width="2.21875" style="105" customWidth="1"/>
    <col min="15932" max="15932" width="1.109375" style="105" customWidth="1"/>
    <col min="15933" max="15933" width="4.44140625" style="105" customWidth="1"/>
    <col min="15934" max="15975" width="11.109375" style="105" customWidth="1"/>
    <col min="15976" max="16128" width="8.88671875" style="105"/>
    <col min="16129" max="16129" width="3.33203125" style="105" customWidth="1"/>
    <col min="16130" max="16130" width="2.21875" style="105" customWidth="1"/>
    <col min="16131" max="16131" width="1.109375" style="105" customWidth="1"/>
    <col min="16132" max="16132" width="3.33203125" style="105" customWidth="1"/>
    <col min="16133" max="16133" width="1.109375" style="105" customWidth="1"/>
    <col min="16134" max="16134" width="2.21875" style="105" customWidth="1"/>
    <col min="16135" max="16136" width="3.33203125" style="105" customWidth="1"/>
    <col min="16137" max="16137" width="2.21875" style="105" customWidth="1"/>
    <col min="16138" max="16138" width="1.109375" style="105" customWidth="1"/>
    <col min="16139" max="16139" width="3.33203125" style="105" customWidth="1"/>
    <col min="16140" max="16140" width="1.109375" style="105" customWidth="1"/>
    <col min="16141" max="16141" width="2.21875" style="105" customWidth="1"/>
    <col min="16142" max="16143" width="3.33203125" style="105" customWidth="1"/>
    <col min="16144" max="16144" width="2.21875" style="105" customWidth="1"/>
    <col min="16145" max="16145" width="1.109375" style="105" customWidth="1"/>
    <col min="16146" max="16146" width="3.33203125" style="105" customWidth="1"/>
    <col min="16147" max="16147" width="1.109375" style="105" customWidth="1"/>
    <col min="16148" max="16148" width="2.21875" style="105" customWidth="1"/>
    <col min="16149" max="16150" width="3.33203125" style="105" customWidth="1"/>
    <col min="16151" max="16151" width="2.21875" style="105" customWidth="1"/>
    <col min="16152" max="16152" width="1.109375" style="105" customWidth="1"/>
    <col min="16153" max="16153" width="3.33203125" style="105" customWidth="1"/>
    <col min="16154" max="16154" width="1.109375" style="105" customWidth="1"/>
    <col min="16155" max="16155" width="2.21875" style="105" customWidth="1"/>
    <col min="16156" max="16157" width="3.33203125" style="105" customWidth="1"/>
    <col min="16158" max="16158" width="2.21875" style="105" customWidth="1"/>
    <col min="16159" max="16159" width="1.109375" style="105" customWidth="1"/>
    <col min="16160" max="16160" width="3.33203125" style="105" customWidth="1"/>
    <col min="16161" max="16161" width="1.109375" style="105" customWidth="1"/>
    <col min="16162" max="16162" width="2.21875" style="105" customWidth="1"/>
    <col min="16163" max="16164" width="3.33203125" style="105" customWidth="1"/>
    <col min="16165" max="16165" width="2.21875" style="105" customWidth="1"/>
    <col min="16166" max="16166" width="1.109375" style="105" customWidth="1"/>
    <col min="16167" max="16167" width="3.33203125" style="105" customWidth="1"/>
    <col min="16168" max="16168" width="1.109375" style="105" customWidth="1"/>
    <col min="16169" max="16169" width="2.21875" style="105" customWidth="1"/>
    <col min="16170" max="16171" width="3.33203125" style="105" customWidth="1"/>
    <col min="16172" max="16172" width="2.21875" style="105" customWidth="1"/>
    <col min="16173" max="16173" width="1.109375" style="105" customWidth="1"/>
    <col min="16174" max="16174" width="3.33203125" style="105" customWidth="1"/>
    <col min="16175" max="16175" width="1.109375" style="105" customWidth="1"/>
    <col min="16176" max="16176" width="2.21875" style="105" customWidth="1"/>
    <col min="16177" max="16178" width="3.33203125" style="105" customWidth="1"/>
    <col min="16179" max="16179" width="2.21875" style="105" customWidth="1"/>
    <col min="16180" max="16180" width="1.109375" style="105" customWidth="1"/>
    <col min="16181" max="16181" width="3.33203125" style="105" customWidth="1"/>
    <col min="16182" max="16182" width="1.109375" style="105" customWidth="1"/>
    <col min="16183" max="16183" width="0.21875" style="105" customWidth="1"/>
    <col min="16184" max="16184" width="2" style="105" customWidth="1"/>
    <col min="16185" max="16186" width="3.33203125" style="105" customWidth="1"/>
    <col min="16187" max="16187" width="2.21875" style="105" customWidth="1"/>
    <col min="16188" max="16188" width="1.109375" style="105" customWidth="1"/>
    <col min="16189" max="16189" width="4.44140625" style="105" customWidth="1"/>
    <col min="16190" max="16231" width="11.109375" style="105" customWidth="1"/>
    <col min="16232" max="16384" width="8.88671875" style="105"/>
  </cols>
  <sheetData>
    <row r="1" spans="1:103" ht="18.2" customHeight="1">
      <c r="A1" s="232" t="s">
        <v>409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</row>
    <row r="2" spans="1:103" ht="18.2" customHeight="1">
      <c r="A2" s="233" t="s">
        <v>410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</row>
    <row r="3" spans="1:103" ht="18.2" customHeight="1">
      <c r="A3" s="233" t="s">
        <v>272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</row>
    <row r="4" spans="1:103" ht="18.2" customHeight="1">
      <c r="A4" s="233" t="s">
        <v>411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</row>
    <row r="5" spans="1:103" ht="18.2" customHeight="1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</row>
    <row r="6" spans="1:103" ht="14.45" customHeight="1">
      <c r="A6" s="106" t="s">
        <v>273</v>
      </c>
      <c r="B6" s="231" t="s">
        <v>141</v>
      </c>
      <c r="C6" s="231"/>
      <c r="D6" s="106" t="s">
        <v>142</v>
      </c>
      <c r="E6" s="231" t="s">
        <v>274</v>
      </c>
      <c r="F6" s="231"/>
      <c r="G6" s="106" t="s">
        <v>275</v>
      </c>
      <c r="H6" s="106" t="s">
        <v>276</v>
      </c>
      <c r="I6" s="231" t="s">
        <v>277</v>
      </c>
      <c r="J6" s="231"/>
      <c r="K6" s="106" t="s">
        <v>278</v>
      </c>
      <c r="L6" s="231" t="s">
        <v>279</v>
      </c>
      <c r="M6" s="231"/>
      <c r="N6" s="106" t="s">
        <v>412</v>
      </c>
      <c r="O6" s="106" t="s">
        <v>413</v>
      </c>
      <c r="P6" s="231" t="s">
        <v>280</v>
      </c>
      <c r="Q6" s="231"/>
      <c r="R6" s="106" t="s">
        <v>281</v>
      </c>
      <c r="S6" s="231" t="s">
        <v>282</v>
      </c>
      <c r="T6" s="231"/>
      <c r="U6" s="106" t="s">
        <v>283</v>
      </c>
      <c r="V6" s="106" t="s">
        <v>414</v>
      </c>
      <c r="W6" s="231" t="s">
        <v>284</v>
      </c>
      <c r="X6" s="231"/>
      <c r="Y6" s="106" t="s">
        <v>285</v>
      </c>
      <c r="Z6" s="231" t="s">
        <v>286</v>
      </c>
      <c r="AA6" s="231"/>
      <c r="AB6" s="106" t="s">
        <v>287</v>
      </c>
      <c r="AC6" s="106" t="s">
        <v>415</v>
      </c>
      <c r="AD6" s="231" t="s">
        <v>416</v>
      </c>
      <c r="AE6" s="231"/>
      <c r="AF6" s="106" t="s">
        <v>417</v>
      </c>
      <c r="AG6" s="231" t="s">
        <v>418</v>
      </c>
      <c r="AH6" s="231"/>
      <c r="AI6" s="106" t="s">
        <v>288</v>
      </c>
      <c r="AJ6" s="106" t="s">
        <v>289</v>
      </c>
      <c r="AK6" s="231" t="s">
        <v>290</v>
      </c>
      <c r="AL6" s="231"/>
      <c r="AM6" s="106" t="s">
        <v>419</v>
      </c>
      <c r="AN6" s="231" t="s">
        <v>420</v>
      </c>
      <c r="AO6" s="231"/>
      <c r="AP6" s="106" t="s">
        <v>291</v>
      </c>
      <c r="AQ6" s="106" t="s">
        <v>292</v>
      </c>
      <c r="AR6" s="231" t="s">
        <v>293</v>
      </c>
      <c r="AS6" s="231"/>
      <c r="AT6" s="106" t="s">
        <v>295</v>
      </c>
      <c r="AU6" s="231" t="s">
        <v>421</v>
      </c>
      <c r="AV6" s="231"/>
      <c r="AW6" s="106" t="s">
        <v>422</v>
      </c>
      <c r="AX6" s="106" t="s">
        <v>423</v>
      </c>
      <c r="AY6" s="231" t="s">
        <v>424</v>
      </c>
      <c r="AZ6" s="231"/>
      <c r="BA6" s="106" t="s">
        <v>300</v>
      </c>
      <c r="BB6" s="231" t="s">
        <v>301</v>
      </c>
      <c r="BC6" s="231"/>
      <c r="BD6" s="231"/>
      <c r="BE6" s="106" t="s">
        <v>302</v>
      </c>
      <c r="BF6" s="106" t="s">
        <v>425</v>
      </c>
      <c r="BG6" s="231" t="s">
        <v>426</v>
      </c>
      <c r="BH6" s="231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</row>
    <row r="7" spans="1:103" ht="14.45" customHeight="1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230" t="s">
        <v>79</v>
      </c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30"/>
      <c r="CP7" s="230"/>
      <c r="CQ7" s="230"/>
      <c r="CR7" s="230"/>
      <c r="CS7" s="230"/>
      <c r="CT7" s="230"/>
      <c r="CU7" s="230"/>
      <c r="CV7" s="230"/>
      <c r="CW7" s="230"/>
      <c r="CX7" s="230"/>
      <c r="CY7" s="230"/>
    </row>
    <row r="8" spans="1:103" ht="58.5" customHeight="1">
      <c r="A8" s="231" t="s">
        <v>80</v>
      </c>
      <c r="B8" s="231"/>
      <c r="C8" s="231" t="s">
        <v>81</v>
      </c>
      <c r="D8" s="231"/>
      <c r="E8" s="231"/>
      <c r="F8" s="231" t="s">
        <v>82</v>
      </c>
      <c r="G8" s="231"/>
      <c r="H8" s="231" t="s">
        <v>83</v>
      </c>
      <c r="I8" s="231"/>
      <c r="J8" s="231" t="s">
        <v>84</v>
      </c>
      <c r="K8" s="231"/>
      <c r="L8" s="231"/>
      <c r="M8" s="231" t="s">
        <v>85</v>
      </c>
      <c r="N8" s="231"/>
      <c r="O8" s="231" t="s">
        <v>86</v>
      </c>
      <c r="P8" s="231"/>
      <c r="Q8" s="231" t="s">
        <v>304</v>
      </c>
      <c r="R8" s="231"/>
      <c r="S8" s="231"/>
      <c r="T8" s="231" t="s">
        <v>382</v>
      </c>
      <c r="U8" s="231"/>
      <c r="V8" s="231" t="s">
        <v>305</v>
      </c>
      <c r="W8" s="231"/>
      <c r="X8" s="231" t="s">
        <v>143</v>
      </c>
      <c r="Y8" s="231"/>
      <c r="Z8" s="231"/>
      <c r="AA8" s="231" t="s">
        <v>306</v>
      </c>
      <c r="AB8" s="231"/>
      <c r="AC8" s="231" t="s">
        <v>307</v>
      </c>
      <c r="AD8" s="231"/>
      <c r="AE8" s="231" t="s">
        <v>308</v>
      </c>
      <c r="AF8" s="231"/>
      <c r="AG8" s="231"/>
      <c r="AH8" s="231" t="s">
        <v>309</v>
      </c>
      <c r="AI8" s="231"/>
      <c r="AJ8" s="231" t="s">
        <v>310</v>
      </c>
      <c r="AK8" s="231"/>
      <c r="AL8" s="231" t="s">
        <v>311</v>
      </c>
      <c r="AM8" s="231"/>
      <c r="AN8" s="231"/>
      <c r="AO8" s="231" t="s">
        <v>312</v>
      </c>
      <c r="AP8" s="231"/>
      <c r="AQ8" s="231" t="s">
        <v>313</v>
      </c>
      <c r="AR8" s="231"/>
      <c r="AS8" s="231" t="s">
        <v>427</v>
      </c>
      <c r="AT8" s="231"/>
      <c r="AU8" s="231"/>
      <c r="AV8" s="231" t="s">
        <v>428</v>
      </c>
      <c r="AW8" s="231"/>
      <c r="AX8" s="231" t="s">
        <v>429</v>
      </c>
      <c r="AY8" s="231"/>
      <c r="AZ8" s="231" t="s">
        <v>430</v>
      </c>
      <c r="BA8" s="231"/>
      <c r="BB8" s="231"/>
      <c r="BC8" s="231" t="s">
        <v>431</v>
      </c>
      <c r="BD8" s="231"/>
      <c r="BE8" s="231"/>
      <c r="BF8" s="231" t="s">
        <v>432</v>
      </c>
      <c r="BG8" s="231"/>
      <c r="BH8" s="231" t="s">
        <v>433</v>
      </c>
      <c r="BI8" s="231"/>
      <c r="BJ8" s="107" t="s">
        <v>273</v>
      </c>
      <c r="BK8" s="107" t="s">
        <v>141</v>
      </c>
      <c r="BL8" s="107" t="s">
        <v>142</v>
      </c>
      <c r="BM8" s="107" t="s">
        <v>274</v>
      </c>
      <c r="BN8" s="107" t="s">
        <v>275</v>
      </c>
      <c r="BO8" s="107" t="s">
        <v>276</v>
      </c>
      <c r="BP8" s="107" t="s">
        <v>277</v>
      </c>
      <c r="BQ8" s="107" t="s">
        <v>278</v>
      </c>
      <c r="BR8" s="107" t="s">
        <v>279</v>
      </c>
      <c r="BS8" s="107" t="s">
        <v>412</v>
      </c>
      <c r="BT8" s="107" t="s">
        <v>413</v>
      </c>
      <c r="BU8" s="107" t="s">
        <v>280</v>
      </c>
      <c r="BV8" s="107" t="s">
        <v>281</v>
      </c>
      <c r="BW8" s="107" t="s">
        <v>282</v>
      </c>
      <c r="BX8" s="107" t="s">
        <v>283</v>
      </c>
      <c r="BY8" s="107" t="s">
        <v>414</v>
      </c>
      <c r="BZ8" s="107" t="s">
        <v>284</v>
      </c>
      <c r="CA8" s="107" t="s">
        <v>285</v>
      </c>
      <c r="CB8" s="107" t="s">
        <v>286</v>
      </c>
      <c r="CC8" s="107" t="s">
        <v>287</v>
      </c>
      <c r="CD8" s="107" t="s">
        <v>415</v>
      </c>
      <c r="CE8" s="107" t="s">
        <v>416</v>
      </c>
      <c r="CF8" s="107" t="s">
        <v>417</v>
      </c>
      <c r="CG8" s="107" t="s">
        <v>418</v>
      </c>
      <c r="CH8" s="107" t="s">
        <v>288</v>
      </c>
      <c r="CI8" s="107" t="s">
        <v>289</v>
      </c>
      <c r="CJ8" s="107" t="s">
        <v>290</v>
      </c>
      <c r="CK8" s="107" t="s">
        <v>419</v>
      </c>
      <c r="CL8" s="107" t="s">
        <v>420</v>
      </c>
      <c r="CM8" s="107" t="s">
        <v>291</v>
      </c>
      <c r="CN8" s="107" t="s">
        <v>292</v>
      </c>
      <c r="CO8" s="107" t="s">
        <v>293</v>
      </c>
      <c r="CP8" s="107" t="s">
        <v>295</v>
      </c>
      <c r="CQ8" s="107" t="s">
        <v>421</v>
      </c>
      <c r="CR8" s="107" t="s">
        <v>422</v>
      </c>
      <c r="CS8" s="107" t="s">
        <v>423</v>
      </c>
      <c r="CT8" s="107" t="s">
        <v>424</v>
      </c>
      <c r="CU8" s="107" t="s">
        <v>300</v>
      </c>
      <c r="CV8" s="107" t="s">
        <v>301</v>
      </c>
      <c r="CW8" s="107" t="s">
        <v>302</v>
      </c>
      <c r="CX8" s="107" t="s">
        <v>425</v>
      </c>
      <c r="CY8" s="107" t="s">
        <v>426</v>
      </c>
    </row>
    <row r="9" spans="1:103" ht="14.45" customHeight="1">
      <c r="A9" s="230" t="s">
        <v>87</v>
      </c>
      <c r="B9" s="230"/>
      <c r="C9" s="230" t="s">
        <v>88</v>
      </c>
      <c r="D9" s="230"/>
      <c r="E9" s="230"/>
      <c r="F9" s="230" t="s">
        <v>89</v>
      </c>
      <c r="G9" s="230"/>
      <c r="H9" s="230" t="s">
        <v>90</v>
      </c>
      <c r="I9" s="230"/>
      <c r="J9" s="230" t="s">
        <v>91</v>
      </c>
      <c r="K9" s="230"/>
      <c r="L9" s="230"/>
      <c r="M9" s="230" t="s">
        <v>92</v>
      </c>
      <c r="N9" s="230"/>
      <c r="O9" s="230" t="s">
        <v>314</v>
      </c>
      <c r="P9" s="230"/>
      <c r="Q9" s="230" t="s">
        <v>187</v>
      </c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108">
        <v>35</v>
      </c>
      <c r="BK9" s="108">
        <v>72</v>
      </c>
      <c r="BL9" s="108">
        <v>1000</v>
      </c>
      <c r="BM9" s="108">
        <v>209.34</v>
      </c>
      <c r="BN9" s="108">
        <v>713734</v>
      </c>
      <c r="BO9" s="108">
        <v>0</v>
      </c>
      <c r="BP9" s="108">
        <v>23233814</v>
      </c>
      <c r="BQ9" s="108">
        <v>23233814</v>
      </c>
      <c r="BR9" s="108">
        <v>0</v>
      </c>
      <c r="BS9" s="108">
        <v>0</v>
      </c>
      <c r="BT9" s="108">
        <v>0</v>
      </c>
      <c r="BU9" s="108">
        <v>673374.41</v>
      </c>
      <c r="BV9" s="108">
        <v>56055</v>
      </c>
      <c r="BW9" s="108">
        <v>4975</v>
      </c>
      <c r="BX9" s="108">
        <v>4975</v>
      </c>
      <c r="BY9" s="108">
        <v>1000</v>
      </c>
      <c r="BZ9" s="108">
        <v>2442465.86</v>
      </c>
      <c r="CA9" s="108">
        <v>1869083.48</v>
      </c>
      <c r="CB9" s="108">
        <v>0</v>
      </c>
      <c r="CC9" s="108">
        <v>729429.41</v>
      </c>
      <c r="CD9" s="108">
        <v>897.36</v>
      </c>
      <c r="CE9" s="108">
        <v>0.34</v>
      </c>
      <c r="CF9" s="108">
        <v>214.37</v>
      </c>
      <c r="CG9" s="108">
        <v>20.89</v>
      </c>
      <c r="CH9" s="108">
        <v>27372706.030000001</v>
      </c>
      <c r="CI9" s="108">
        <v>6581417.8899999997</v>
      </c>
      <c r="CJ9" s="108">
        <v>4138892.03</v>
      </c>
      <c r="CK9" s="108">
        <v>0</v>
      </c>
      <c r="CL9" s="108">
        <v>0</v>
      </c>
      <c r="CM9" s="108">
        <v>578968.12</v>
      </c>
      <c r="CN9" s="108">
        <v>35697.599999999999</v>
      </c>
      <c r="CO9" s="108">
        <v>8955</v>
      </c>
      <c r="CP9" s="108">
        <v>0</v>
      </c>
      <c r="CQ9" s="108">
        <v>26643276.620000001</v>
      </c>
      <c r="CR9" s="108">
        <v>-4138892.03</v>
      </c>
      <c r="CS9" s="108">
        <v>0</v>
      </c>
      <c r="CT9" s="109">
        <v>0</v>
      </c>
      <c r="CU9" s="108">
        <v>125971.54</v>
      </c>
      <c r="CV9" s="108">
        <v>0</v>
      </c>
      <c r="CW9" s="108">
        <v>23597699</v>
      </c>
      <c r="CX9" s="108">
        <v>0</v>
      </c>
      <c r="CY9" s="108">
        <v>0</v>
      </c>
    </row>
    <row r="10" spans="1:103" ht="14.45" customHeight="1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 t="s">
        <v>315</v>
      </c>
      <c r="P10" s="230"/>
      <c r="Q10" s="230" t="s">
        <v>222</v>
      </c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108">
        <v>14</v>
      </c>
      <c r="BK10" s="108">
        <v>31</v>
      </c>
      <c r="BL10" s="108">
        <v>253</v>
      </c>
      <c r="BM10" s="108">
        <v>83.87</v>
      </c>
      <c r="BN10" s="108">
        <v>1469627</v>
      </c>
      <c r="BO10" s="108">
        <v>0</v>
      </c>
      <c r="BP10" s="108">
        <v>7823816.5</v>
      </c>
      <c r="BQ10" s="108">
        <v>7823816.5</v>
      </c>
      <c r="BR10" s="108">
        <v>0</v>
      </c>
      <c r="BS10" s="108">
        <v>0</v>
      </c>
      <c r="BT10" s="108">
        <v>0</v>
      </c>
      <c r="BU10" s="108">
        <v>302550.94</v>
      </c>
      <c r="BV10" s="108">
        <v>28027.5</v>
      </c>
      <c r="BW10" s="108">
        <v>3599</v>
      </c>
      <c r="BX10" s="108">
        <v>3599</v>
      </c>
      <c r="BY10" s="108">
        <v>253</v>
      </c>
      <c r="BZ10" s="108">
        <v>1189928.53</v>
      </c>
      <c r="CA10" s="108">
        <v>889255.58</v>
      </c>
      <c r="CB10" s="108">
        <v>0</v>
      </c>
      <c r="CC10" s="108">
        <v>330578.44</v>
      </c>
      <c r="CD10" s="108">
        <v>470.46</v>
      </c>
      <c r="CE10" s="108">
        <v>0.25</v>
      </c>
      <c r="CF10" s="108">
        <v>171.3</v>
      </c>
      <c r="CG10" s="108">
        <v>10.97</v>
      </c>
      <c r="CH10" s="108">
        <v>10334386.470000001</v>
      </c>
      <c r="CI10" s="108">
        <v>3700546.5</v>
      </c>
      <c r="CJ10" s="108">
        <v>2510569.9700000002</v>
      </c>
      <c r="CK10" s="108">
        <v>0</v>
      </c>
      <c r="CL10" s="108">
        <v>0</v>
      </c>
      <c r="CM10" s="108">
        <v>138599.84</v>
      </c>
      <c r="CN10" s="108">
        <v>32227.200000000001</v>
      </c>
      <c r="CO10" s="108">
        <v>6478.2</v>
      </c>
      <c r="CP10" s="108">
        <v>0</v>
      </c>
      <c r="CQ10" s="108">
        <v>10003808.029999999</v>
      </c>
      <c r="CR10" s="108">
        <v>-2510569.9700000002</v>
      </c>
      <c r="CS10" s="108">
        <v>0</v>
      </c>
      <c r="CT10" s="109">
        <v>0</v>
      </c>
      <c r="CU10" s="108">
        <v>79865.55</v>
      </c>
      <c r="CV10" s="108">
        <v>0</v>
      </c>
      <c r="CW10" s="108">
        <v>8597050</v>
      </c>
      <c r="CX10" s="108">
        <v>0</v>
      </c>
      <c r="CY10" s="108">
        <v>0</v>
      </c>
    </row>
    <row r="11" spans="1:103" ht="14.45" customHeight="1">
      <c r="A11" s="230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 t="s">
        <v>316</v>
      </c>
      <c r="P11" s="230"/>
      <c r="Q11" s="230" t="s">
        <v>246</v>
      </c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108">
        <v>12</v>
      </c>
      <c r="BK11" s="108">
        <v>25</v>
      </c>
      <c r="BL11" s="108">
        <v>128</v>
      </c>
      <c r="BM11" s="108">
        <v>37.97</v>
      </c>
      <c r="BN11" s="108">
        <v>526802</v>
      </c>
      <c r="BO11" s="108">
        <v>0</v>
      </c>
      <c r="BP11" s="108">
        <v>6068035.5</v>
      </c>
      <c r="BQ11" s="108">
        <v>6068035.5</v>
      </c>
      <c r="BR11" s="108">
        <v>0</v>
      </c>
      <c r="BS11" s="108">
        <v>0</v>
      </c>
      <c r="BT11" s="108">
        <v>0</v>
      </c>
      <c r="BU11" s="108">
        <v>253529.41</v>
      </c>
      <c r="BV11" s="108">
        <v>0</v>
      </c>
      <c r="BW11" s="108">
        <v>2217</v>
      </c>
      <c r="BX11" s="108">
        <v>2217</v>
      </c>
      <c r="BY11" s="108">
        <v>128</v>
      </c>
      <c r="BZ11" s="108">
        <v>847526.21</v>
      </c>
      <c r="CA11" s="108">
        <v>790449.4</v>
      </c>
      <c r="CB11" s="108">
        <v>0</v>
      </c>
      <c r="CC11" s="108">
        <v>253529.41</v>
      </c>
      <c r="CD11" s="108">
        <v>234.17</v>
      </c>
      <c r="CE11" s="108">
        <v>0.04</v>
      </c>
      <c r="CF11" s="108">
        <v>85.16</v>
      </c>
      <c r="CG11" s="108">
        <v>5.49</v>
      </c>
      <c r="CH11" s="108">
        <v>7798789.7699999996</v>
      </c>
      <c r="CI11" s="108">
        <v>2578304.48</v>
      </c>
      <c r="CJ11" s="108">
        <v>1730754.27</v>
      </c>
      <c r="CK11" s="108">
        <v>0</v>
      </c>
      <c r="CL11" s="108">
        <v>0</v>
      </c>
      <c r="CM11" s="108">
        <v>472792.08</v>
      </c>
      <c r="CN11" s="108">
        <v>25286.400000000001</v>
      </c>
      <c r="CO11" s="108">
        <v>3990.6</v>
      </c>
      <c r="CP11" s="108">
        <v>0</v>
      </c>
      <c r="CQ11" s="108">
        <v>7545260.3600000003</v>
      </c>
      <c r="CR11" s="108">
        <v>-1730754.27</v>
      </c>
      <c r="CS11" s="108">
        <v>0</v>
      </c>
      <c r="CT11" s="109">
        <v>0</v>
      </c>
      <c r="CU11" s="108">
        <v>54155.46</v>
      </c>
      <c r="CV11" s="108">
        <v>0</v>
      </c>
      <c r="CW11" s="108">
        <v>8155626</v>
      </c>
      <c r="CX11" s="108">
        <v>0</v>
      </c>
      <c r="CY11" s="108">
        <v>0</v>
      </c>
    </row>
    <row r="12" spans="1:103" ht="14.45" customHeight="1">
      <c r="A12" s="230"/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 t="s">
        <v>317</v>
      </c>
      <c r="P12" s="230"/>
      <c r="Q12" s="230" t="s">
        <v>181</v>
      </c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108">
        <v>10</v>
      </c>
      <c r="BK12" s="108">
        <v>25</v>
      </c>
      <c r="BL12" s="108">
        <v>199</v>
      </c>
      <c r="BM12" s="108">
        <v>66.3</v>
      </c>
      <c r="BN12" s="108">
        <v>527737</v>
      </c>
      <c r="BO12" s="108">
        <v>0</v>
      </c>
      <c r="BP12" s="108">
        <v>5839328.5</v>
      </c>
      <c r="BQ12" s="108">
        <v>5839328.5</v>
      </c>
      <c r="BR12" s="108">
        <v>0</v>
      </c>
      <c r="BS12" s="108">
        <v>0</v>
      </c>
      <c r="BT12" s="108">
        <v>0</v>
      </c>
      <c r="BU12" s="108">
        <v>228277.09</v>
      </c>
      <c r="BV12" s="108">
        <v>28027.5</v>
      </c>
      <c r="BW12" s="108">
        <v>1971</v>
      </c>
      <c r="BX12" s="108">
        <v>1971</v>
      </c>
      <c r="BY12" s="108">
        <v>199</v>
      </c>
      <c r="BZ12" s="108">
        <v>791485.27</v>
      </c>
      <c r="CA12" s="108">
        <v>642240.14</v>
      </c>
      <c r="CB12" s="108">
        <v>0</v>
      </c>
      <c r="CC12" s="108">
        <v>256304.59</v>
      </c>
      <c r="CD12" s="108">
        <v>202.53</v>
      </c>
      <c r="CE12" s="108">
        <v>0.04</v>
      </c>
      <c r="CF12" s="108">
        <v>85.16</v>
      </c>
      <c r="CG12" s="108">
        <v>4.75</v>
      </c>
      <c r="CH12" s="108">
        <v>7294330.6399999997</v>
      </c>
      <c r="CI12" s="108">
        <v>2246511.41</v>
      </c>
      <c r="CJ12" s="108">
        <v>1455002.14</v>
      </c>
      <c r="CK12" s="108">
        <v>0</v>
      </c>
      <c r="CL12" s="108">
        <v>0</v>
      </c>
      <c r="CM12" s="108">
        <v>181153.16</v>
      </c>
      <c r="CN12" s="108">
        <v>25286.400000000001</v>
      </c>
      <c r="CO12" s="108">
        <v>3547.8</v>
      </c>
      <c r="CP12" s="108">
        <v>0</v>
      </c>
      <c r="CQ12" s="108">
        <v>7038026.0499999998</v>
      </c>
      <c r="CR12" s="108">
        <v>-1455002.14</v>
      </c>
      <c r="CS12" s="108">
        <v>0</v>
      </c>
      <c r="CT12" s="109">
        <v>0</v>
      </c>
      <c r="CU12" s="108">
        <v>43630.21</v>
      </c>
      <c r="CV12" s="108">
        <v>0</v>
      </c>
      <c r="CW12" s="108">
        <v>7290421</v>
      </c>
      <c r="CX12" s="108">
        <v>0</v>
      </c>
      <c r="CY12" s="108">
        <v>0</v>
      </c>
    </row>
    <row r="13" spans="1:103" ht="14.45" customHeight="1">
      <c r="A13" s="230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 t="s">
        <v>318</v>
      </c>
      <c r="P13" s="230"/>
      <c r="Q13" s="230" t="s">
        <v>184</v>
      </c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0"/>
      <c r="BI13" s="230"/>
      <c r="BJ13" s="108">
        <v>11</v>
      </c>
      <c r="BK13" s="108">
        <v>15</v>
      </c>
      <c r="BL13" s="108">
        <v>79</v>
      </c>
      <c r="BM13" s="108">
        <v>27.93</v>
      </c>
      <c r="BN13" s="108">
        <v>1731054</v>
      </c>
      <c r="BO13" s="108">
        <v>0</v>
      </c>
      <c r="BP13" s="108">
        <v>4867990</v>
      </c>
      <c r="BQ13" s="108">
        <v>4867990</v>
      </c>
      <c r="BR13" s="108">
        <v>0</v>
      </c>
      <c r="BS13" s="108">
        <v>0</v>
      </c>
      <c r="BT13" s="108">
        <v>0</v>
      </c>
      <c r="BU13" s="108">
        <v>277770.90999999997</v>
      </c>
      <c r="BV13" s="108">
        <v>25785.3</v>
      </c>
      <c r="BW13" s="108">
        <v>1883</v>
      </c>
      <c r="BX13" s="108">
        <v>1883</v>
      </c>
      <c r="BY13" s="108">
        <v>79</v>
      </c>
      <c r="BZ13" s="108">
        <v>794593.9</v>
      </c>
      <c r="CA13" s="108">
        <v>601070.9</v>
      </c>
      <c r="CB13" s="108">
        <v>0</v>
      </c>
      <c r="CC13" s="108">
        <v>303556.21000000002</v>
      </c>
      <c r="CD13" s="108">
        <v>389</v>
      </c>
      <c r="CE13" s="108">
        <v>0.21</v>
      </c>
      <c r="CF13" s="108">
        <v>128.22999999999999</v>
      </c>
      <c r="CG13" s="108">
        <v>9.08</v>
      </c>
      <c r="CH13" s="108">
        <v>6302493.2699999996</v>
      </c>
      <c r="CI13" s="108">
        <v>2229133.17</v>
      </c>
      <c r="CJ13" s="108">
        <v>1434503.27</v>
      </c>
      <c r="CK13" s="108">
        <v>0</v>
      </c>
      <c r="CL13" s="108">
        <v>0</v>
      </c>
      <c r="CM13" s="108">
        <v>791534.07999999996</v>
      </c>
      <c r="CN13" s="108">
        <v>10411.200000000001</v>
      </c>
      <c r="CO13" s="108">
        <v>3389.4</v>
      </c>
      <c r="CP13" s="108">
        <v>0</v>
      </c>
      <c r="CQ13" s="108">
        <v>5998937.0599999996</v>
      </c>
      <c r="CR13" s="108">
        <v>-1434503.27</v>
      </c>
      <c r="CS13" s="108">
        <v>0</v>
      </c>
      <c r="CT13" s="109">
        <v>0</v>
      </c>
      <c r="CU13" s="108">
        <v>41663.56</v>
      </c>
      <c r="CV13" s="108">
        <v>0</v>
      </c>
      <c r="CW13" s="108">
        <v>4867990</v>
      </c>
      <c r="CX13" s="108">
        <v>0</v>
      </c>
      <c r="CY13" s="108">
        <v>0</v>
      </c>
    </row>
    <row r="14" spans="1:103" ht="14.45" customHeight="1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 t="s">
        <v>319</v>
      </c>
      <c r="P14" s="230"/>
      <c r="Q14" s="230" t="s">
        <v>186</v>
      </c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230"/>
      <c r="AW14" s="230"/>
      <c r="AX14" s="230"/>
      <c r="AY14" s="230"/>
      <c r="AZ14" s="230"/>
      <c r="BA14" s="230"/>
      <c r="BB14" s="230"/>
      <c r="BC14" s="230"/>
      <c r="BD14" s="230"/>
      <c r="BE14" s="230"/>
      <c r="BF14" s="230"/>
      <c r="BG14" s="230"/>
      <c r="BH14" s="230"/>
      <c r="BI14" s="230"/>
      <c r="BJ14" s="108">
        <v>17</v>
      </c>
      <c r="BK14" s="108">
        <v>37</v>
      </c>
      <c r="BL14" s="108">
        <v>533</v>
      </c>
      <c r="BM14" s="108">
        <v>123.69</v>
      </c>
      <c r="BN14" s="108">
        <v>1141714</v>
      </c>
      <c r="BO14" s="108">
        <v>0</v>
      </c>
      <c r="BP14" s="108">
        <v>10469655.800000001</v>
      </c>
      <c r="BQ14" s="108">
        <v>10469655.800000001</v>
      </c>
      <c r="BR14" s="108">
        <v>0</v>
      </c>
      <c r="BS14" s="108">
        <v>0</v>
      </c>
      <c r="BT14" s="108">
        <v>0</v>
      </c>
      <c r="BU14" s="108">
        <v>512085.89</v>
      </c>
      <c r="BV14" s="108">
        <v>56055</v>
      </c>
      <c r="BW14" s="108">
        <v>4824.3999999999996</v>
      </c>
      <c r="BX14" s="108">
        <v>4824.3999999999996</v>
      </c>
      <c r="BY14" s="108">
        <v>533</v>
      </c>
      <c r="BZ14" s="108">
        <v>1837953.94</v>
      </c>
      <c r="CA14" s="108">
        <v>765747.86</v>
      </c>
      <c r="CB14" s="108">
        <v>0</v>
      </c>
      <c r="CC14" s="108">
        <v>568140.89</v>
      </c>
      <c r="CD14" s="108">
        <v>324.64</v>
      </c>
      <c r="CE14" s="108">
        <v>0.1</v>
      </c>
      <c r="CF14" s="108">
        <v>128.22999999999999</v>
      </c>
      <c r="CG14" s="108">
        <v>7.57</v>
      </c>
      <c r="CH14" s="108">
        <v>13383493.07</v>
      </c>
      <c r="CI14" s="108">
        <v>4729305.49</v>
      </c>
      <c r="CJ14" s="108">
        <v>2913837.27</v>
      </c>
      <c r="CK14" s="108">
        <v>0</v>
      </c>
      <c r="CL14" s="108">
        <v>0</v>
      </c>
      <c r="CM14" s="108">
        <v>889905.8</v>
      </c>
      <c r="CN14" s="108">
        <v>28756.799999999999</v>
      </c>
      <c r="CO14" s="108">
        <v>8683.92</v>
      </c>
      <c r="CP14" s="108">
        <v>0</v>
      </c>
      <c r="CQ14" s="108">
        <v>12815352.18</v>
      </c>
      <c r="CR14" s="108">
        <v>-2913837.27</v>
      </c>
      <c r="CS14" s="108">
        <v>0</v>
      </c>
      <c r="CT14" s="109">
        <v>0</v>
      </c>
      <c r="CU14" s="108">
        <v>84572.88</v>
      </c>
      <c r="CV14" s="108">
        <v>0</v>
      </c>
      <c r="CW14" s="108">
        <v>10222472</v>
      </c>
      <c r="CX14" s="108">
        <v>0</v>
      </c>
      <c r="CY14" s="108">
        <v>0</v>
      </c>
    </row>
    <row r="15" spans="1:103" ht="14.45" customHeight="1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 t="s">
        <v>320</v>
      </c>
      <c r="P15" s="230"/>
      <c r="Q15" s="230" t="s">
        <v>201</v>
      </c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230"/>
      <c r="BF15" s="230"/>
      <c r="BG15" s="230"/>
      <c r="BH15" s="230"/>
      <c r="BI15" s="230"/>
      <c r="BJ15" s="108">
        <v>12</v>
      </c>
      <c r="BK15" s="108">
        <v>28</v>
      </c>
      <c r="BL15" s="108">
        <v>148</v>
      </c>
      <c r="BM15" s="108">
        <v>50.05</v>
      </c>
      <c r="BN15" s="108">
        <v>608783</v>
      </c>
      <c r="BO15" s="108">
        <v>0</v>
      </c>
      <c r="BP15" s="108">
        <v>6427290</v>
      </c>
      <c r="BQ15" s="108">
        <v>6427290</v>
      </c>
      <c r="BR15" s="108">
        <v>0</v>
      </c>
      <c r="BS15" s="108">
        <v>0</v>
      </c>
      <c r="BT15" s="108">
        <v>0</v>
      </c>
      <c r="BU15" s="108">
        <v>232709.3</v>
      </c>
      <c r="BV15" s="108">
        <v>0</v>
      </c>
      <c r="BW15" s="108">
        <v>2239</v>
      </c>
      <c r="BX15" s="108">
        <v>2239</v>
      </c>
      <c r="BY15" s="108">
        <v>148</v>
      </c>
      <c r="BZ15" s="108">
        <v>758262.22</v>
      </c>
      <c r="CA15" s="108">
        <v>913957.12</v>
      </c>
      <c r="CB15" s="108">
        <v>0</v>
      </c>
      <c r="CC15" s="108">
        <v>232709.3</v>
      </c>
      <c r="CD15" s="108">
        <v>528.91</v>
      </c>
      <c r="CE15" s="108">
        <v>0.64</v>
      </c>
      <c r="CF15" s="108">
        <v>128.22999999999999</v>
      </c>
      <c r="CG15" s="108">
        <v>12.33</v>
      </c>
      <c r="CH15" s="108">
        <v>8412132.0299999993</v>
      </c>
      <c r="CI15" s="108">
        <v>2743140.25</v>
      </c>
      <c r="CJ15" s="108">
        <v>1984842.03</v>
      </c>
      <c r="CK15" s="108">
        <v>0</v>
      </c>
      <c r="CL15" s="108">
        <v>0</v>
      </c>
      <c r="CM15" s="108">
        <v>471237.64</v>
      </c>
      <c r="CN15" s="108">
        <v>28756.799999999999</v>
      </c>
      <c r="CO15" s="108">
        <v>4030.2</v>
      </c>
      <c r="CP15" s="108">
        <v>0</v>
      </c>
      <c r="CQ15" s="108">
        <v>8179422.7300000004</v>
      </c>
      <c r="CR15" s="108">
        <v>-1984842.03</v>
      </c>
      <c r="CS15" s="108">
        <v>0</v>
      </c>
      <c r="CT15" s="109">
        <v>0</v>
      </c>
      <c r="CU15" s="108">
        <v>64578.61</v>
      </c>
      <c r="CV15" s="108">
        <v>0</v>
      </c>
      <c r="CW15" s="108">
        <v>8857768</v>
      </c>
      <c r="CX15" s="108">
        <v>0</v>
      </c>
      <c r="CY15" s="108">
        <v>0</v>
      </c>
    </row>
    <row r="16" spans="1:103" ht="14.45" customHeight="1">
      <c r="A16" s="230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 t="s">
        <v>321</v>
      </c>
      <c r="P16" s="230"/>
      <c r="Q16" s="230" t="s">
        <v>216</v>
      </c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108">
        <v>15</v>
      </c>
      <c r="BK16" s="108">
        <v>34</v>
      </c>
      <c r="BL16" s="108">
        <v>178</v>
      </c>
      <c r="BM16" s="108">
        <v>52.02</v>
      </c>
      <c r="BN16" s="108">
        <v>1296260</v>
      </c>
      <c r="BO16" s="108">
        <v>0</v>
      </c>
      <c r="BP16" s="108">
        <v>7594980</v>
      </c>
      <c r="BQ16" s="108">
        <v>7594980</v>
      </c>
      <c r="BR16" s="108">
        <v>0</v>
      </c>
      <c r="BS16" s="108">
        <v>0</v>
      </c>
      <c r="BT16" s="108">
        <v>0</v>
      </c>
      <c r="BU16" s="108">
        <v>292756.64</v>
      </c>
      <c r="BV16" s="108">
        <v>0</v>
      </c>
      <c r="BW16" s="108">
        <v>2435</v>
      </c>
      <c r="BX16" s="108">
        <v>2435</v>
      </c>
      <c r="BY16" s="108">
        <v>178</v>
      </c>
      <c r="BZ16" s="108">
        <v>1008327.61</v>
      </c>
      <c r="CA16" s="108">
        <v>889255.58</v>
      </c>
      <c r="CB16" s="108">
        <v>0</v>
      </c>
      <c r="CC16" s="108">
        <v>292756.64</v>
      </c>
      <c r="CD16" s="108">
        <v>447.41</v>
      </c>
      <c r="CE16" s="108">
        <v>0.14000000000000001</v>
      </c>
      <c r="CF16" s="108">
        <v>171.3</v>
      </c>
      <c r="CG16" s="108">
        <v>10.44</v>
      </c>
      <c r="CH16" s="108">
        <v>9529646.9700000007</v>
      </c>
      <c r="CI16" s="108">
        <v>2943042.58</v>
      </c>
      <c r="CJ16" s="108">
        <v>1934666.97</v>
      </c>
      <c r="CK16" s="108">
        <v>0</v>
      </c>
      <c r="CL16" s="108">
        <v>0</v>
      </c>
      <c r="CM16" s="108">
        <v>294687.88</v>
      </c>
      <c r="CN16" s="108">
        <v>32227.200000000001</v>
      </c>
      <c r="CO16" s="108">
        <v>4383</v>
      </c>
      <c r="CP16" s="108">
        <v>0</v>
      </c>
      <c r="CQ16" s="108">
        <v>9236890.3300000001</v>
      </c>
      <c r="CR16" s="108">
        <v>-1934666.97</v>
      </c>
      <c r="CS16" s="108">
        <v>0</v>
      </c>
      <c r="CT16" s="109">
        <v>0</v>
      </c>
      <c r="CU16" s="108">
        <v>60056.55</v>
      </c>
      <c r="CV16" s="108">
        <v>0</v>
      </c>
      <c r="CW16" s="108">
        <v>9531241</v>
      </c>
      <c r="CX16" s="108">
        <v>0</v>
      </c>
      <c r="CY16" s="108">
        <v>0</v>
      </c>
    </row>
    <row r="17" spans="1:103" ht="14.45" customHeight="1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 t="s">
        <v>322</v>
      </c>
      <c r="P17" s="230"/>
      <c r="Q17" s="230" t="s">
        <v>217</v>
      </c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230"/>
      <c r="AW17" s="230"/>
      <c r="AX17" s="230"/>
      <c r="AY17" s="230"/>
      <c r="AZ17" s="230"/>
      <c r="BA17" s="230"/>
      <c r="BB17" s="230"/>
      <c r="BC17" s="230"/>
      <c r="BD17" s="230"/>
      <c r="BE17" s="230"/>
      <c r="BF17" s="230"/>
      <c r="BG17" s="230"/>
      <c r="BH17" s="230"/>
      <c r="BI17" s="230"/>
      <c r="BJ17" s="108">
        <v>10</v>
      </c>
      <c r="BK17" s="108">
        <v>21</v>
      </c>
      <c r="BL17" s="108">
        <v>212</v>
      </c>
      <c r="BM17" s="108">
        <v>95.44</v>
      </c>
      <c r="BN17" s="108">
        <v>209205</v>
      </c>
      <c r="BO17" s="108">
        <v>0</v>
      </c>
      <c r="BP17" s="108">
        <v>5607240.5</v>
      </c>
      <c r="BQ17" s="108">
        <v>5607240.5</v>
      </c>
      <c r="BR17" s="108">
        <v>0</v>
      </c>
      <c r="BS17" s="108">
        <v>0</v>
      </c>
      <c r="BT17" s="108">
        <v>0</v>
      </c>
      <c r="BU17" s="108">
        <v>208093.83</v>
      </c>
      <c r="BV17" s="108">
        <v>0</v>
      </c>
      <c r="BW17" s="108">
        <v>5339</v>
      </c>
      <c r="BX17" s="108">
        <v>5339</v>
      </c>
      <c r="BY17" s="108">
        <v>212</v>
      </c>
      <c r="BZ17" s="108">
        <v>1328197.25</v>
      </c>
      <c r="CA17" s="108">
        <v>518732.42</v>
      </c>
      <c r="CB17" s="108">
        <v>0</v>
      </c>
      <c r="CC17" s="108">
        <v>187180.34</v>
      </c>
      <c r="CD17" s="108">
        <v>56.63</v>
      </c>
      <c r="CE17" s="108">
        <v>0</v>
      </c>
      <c r="CF17" s="108">
        <v>42.09</v>
      </c>
      <c r="CG17" s="108">
        <v>1.35</v>
      </c>
      <c r="CH17" s="108">
        <v>7438256.4000000004</v>
      </c>
      <c r="CI17" s="108">
        <v>3159225.15</v>
      </c>
      <c r="CJ17" s="108">
        <v>1831015.9</v>
      </c>
      <c r="CK17" s="108">
        <v>0</v>
      </c>
      <c r="CL17" s="108">
        <v>0</v>
      </c>
      <c r="CM17" s="108">
        <v>449245.2</v>
      </c>
      <c r="CN17" s="108">
        <v>21816</v>
      </c>
      <c r="CO17" s="108">
        <v>8179.2</v>
      </c>
      <c r="CP17" s="108">
        <v>0</v>
      </c>
      <c r="CQ17" s="108">
        <v>7251076.0599999996</v>
      </c>
      <c r="CR17" s="108">
        <v>-1831015.9</v>
      </c>
      <c r="CS17" s="108">
        <v>0</v>
      </c>
      <c r="CT17" s="109">
        <v>0</v>
      </c>
      <c r="CU17" s="108">
        <v>58924.94</v>
      </c>
      <c r="CV17" s="108">
        <v>0</v>
      </c>
      <c r="CW17" s="108">
        <v>6633553</v>
      </c>
      <c r="CX17" s="108">
        <v>0</v>
      </c>
      <c r="CY17" s="108">
        <v>0</v>
      </c>
    </row>
    <row r="18" spans="1:103" ht="14.45" customHeight="1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 t="s">
        <v>323</v>
      </c>
      <c r="P18" s="230"/>
      <c r="Q18" s="230" t="s">
        <v>223</v>
      </c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108">
        <v>19</v>
      </c>
      <c r="BK18" s="108">
        <v>36</v>
      </c>
      <c r="BL18" s="108">
        <v>460</v>
      </c>
      <c r="BM18" s="108">
        <v>124.5</v>
      </c>
      <c r="BN18" s="108">
        <v>1119730</v>
      </c>
      <c r="BO18" s="108">
        <v>169071</v>
      </c>
      <c r="BP18" s="108">
        <v>10728358.199999999</v>
      </c>
      <c r="BQ18" s="108">
        <v>10728358.199999999</v>
      </c>
      <c r="BR18" s="108">
        <v>1521639</v>
      </c>
      <c r="BS18" s="108">
        <v>0</v>
      </c>
      <c r="BT18" s="108">
        <v>0</v>
      </c>
      <c r="BU18" s="108">
        <v>661201.11</v>
      </c>
      <c r="BV18" s="108">
        <v>173649.3</v>
      </c>
      <c r="BW18" s="108">
        <v>2458</v>
      </c>
      <c r="BX18" s="108">
        <v>2458</v>
      </c>
      <c r="BY18" s="108">
        <v>460</v>
      </c>
      <c r="BZ18" s="108">
        <v>1393326.91</v>
      </c>
      <c r="CA18" s="108">
        <v>1037464.84</v>
      </c>
      <c r="CB18" s="108">
        <v>0</v>
      </c>
      <c r="CC18" s="108">
        <v>792407.08</v>
      </c>
      <c r="CD18" s="108">
        <v>595.29999999999995</v>
      </c>
      <c r="CE18" s="108">
        <v>0.19</v>
      </c>
      <c r="CF18" s="108">
        <v>171.3</v>
      </c>
      <c r="CG18" s="108">
        <v>13.89</v>
      </c>
      <c r="CH18" s="108">
        <v>15168535.439999999</v>
      </c>
      <c r="CI18" s="108">
        <v>4311913.1500000004</v>
      </c>
      <c r="CJ18" s="108">
        <v>2918538.24</v>
      </c>
      <c r="CK18" s="108">
        <v>0</v>
      </c>
      <c r="CL18" s="108">
        <v>0</v>
      </c>
      <c r="CM18" s="108">
        <v>170773.64</v>
      </c>
      <c r="CN18" s="108">
        <v>32227.200000000001</v>
      </c>
      <c r="CO18" s="108">
        <v>4275</v>
      </c>
      <c r="CP18" s="108">
        <v>0</v>
      </c>
      <c r="CQ18" s="108">
        <v>14376128.359999999</v>
      </c>
      <c r="CR18" s="108">
        <v>-4440177.24</v>
      </c>
      <c r="CS18" s="108">
        <v>0</v>
      </c>
      <c r="CT18" s="109">
        <v>0</v>
      </c>
      <c r="CU18" s="108">
        <v>78726.12</v>
      </c>
      <c r="CV18" s="108">
        <v>0</v>
      </c>
      <c r="CW18" s="108">
        <v>11687696</v>
      </c>
      <c r="CX18" s="108">
        <v>0</v>
      </c>
      <c r="CY18" s="108">
        <v>0</v>
      </c>
    </row>
    <row r="19" spans="1:103" ht="14.45" customHeight="1">
      <c r="A19" s="230"/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 t="s">
        <v>324</v>
      </c>
      <c r="P19" s="230"/>
      <c r="Q19" s="230" t="s">
        <v>224</v>
      </c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108">
        <v>16</v>
      </c>
      <c r="BK19" s="108">
        <v>30</v>
      </c>
      <c r="BL19" s="108">
        <v>381</v>
      </c>
      <c r="BM19" s="108">
        <v>125.85</v>
      </c>
      <c r="BN19" s="108">
        <v>912869</v>
      </c>
      <c r="BO19" s="108">
        <v>0</v>
      </c>
      <c r="BP19" s="108">
        <v>8700527.4000000004</v>
      </c>
      <c r="BQ19" s="108">
        <v>8700527.4000000004</v>
      </c>
      <c r="BR19" s="108">
        <v>0</v>
      </c>
      <c r="BS19" s="108">
        <v>0</v>
      </c>
      <c r="BT19" s="108">
        <v>0</v>
      </c>
      <c r="BU19" s="108">
        <v>305994.65999999997</v>
      </c>
      <c r="BV19" s="108">
        <v>32511.9</v>
      </c>
      <c r="BW19" s="108">
        <v>2540</v>
      </c>
      <c r="BX19" s="108">
        <v>2540</v>
      </c>
      <c r="BY19" s="108">
        <v>381</v>
      </c>
      <c r="BZ19" s="108">
        <v>1113212.8500000001</v>
      </c>
      <c r="CA19" s="108">
        <v>913957.12</v>
      </c>
      <c r="CB19" s="108">
        <v>0</v>
      </c>
      <c r="CC19" s="108">
        <v>338506.56</v>
      </c>
      <c r="CD19" s="108">
        <v>436.21</v>
      </c>
      <c r="CE19" s="108">
        <v>0.19</v>
      </c>
      <c r="CF19" s="108">
        <v>128.22999999999999</v>
      </c>
      <c r="CG19" s="108">
        <v>10.18</v>
      </c>
      <c r="CH19" s="108">
        <v>10679470.25</v>
      </c>
      <c r="CI19" s="108">
        <v>3092191.7</v>
      </c>
      <c r="CJ19" s="108">
        <v>1978942.85</v>
      </c>
      <c r="CK19" s="108">
        <v>0</v>
      </c>
      <c r="CL19" s="108">
        <v>0</v>
      </c>
      <c r="CM19" s="108">
        <v>169918.24</v>
      </c>
      <c r="CN19" s="108">
        <v>28756.799999999999</v>
      </c>
      <c r="CO19" s="108">
        <v>4572</v>
      </c>
      <c r="CP19" s="108">
        <v>0</v>
      </c>
      <c r="CQ19" s="108">
        <v>10340963.689999999</v>
      </c>
      <c r="CR19" s="108">
        <v>-1978942.85</v>
      </c>
      <c r="CS19" s="108">
        <v>0</v>
      </c>
      <c r="CT19" s="109">
        <v>0</v>
      </c>
      <c r="CU19" s="108">
        <v>60053.37</v>
      </c>
      <c r="CV19" s="108">
        <v>0</v>
      </c>
      <c r="CW19" s="108">
        <v>9096557</v>
      </c>
      <c r="CX19" s="108">
        <v>0</v>
      </c>
      <c r="CY19" s="108">
        <v>0</v>
      </c>
    </row>
    <row r="20" spans="1:103" ht="14.45" customHeight="1">
      <c r="A20" s="230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 t="s">
        <v>325</v>
      </c>
      <c r="P20" s="230"/>
      <c r="Q20" s="230" t="s">
        <v>227</v>
      </c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30"/>
      <c r="BF20" s="230"/>
      <c r="BG20" s="230"/>
      <c r="BH20" s="230"/>
      <c r="BI20" s="230"/>
      <c r="BJ20" s="108">
        <v>11</v>
      </c>
      <c r="BK20" s="108">
        <v>27</v>
      </c>
      <c r="BL20" s="108">
        <v>193</v>
      </c>
      <c r="BM20" s="108">
        <v>53.7</v>
      </c>
      <c r="BN20" s="108">
        <v>894463</v>
      </c>
      <c r="BO20" s="108">
        <v>0</v>
      </c>
      <c r="BP20" s="108">
        <v>6296618.5</v>
      </c>
      <c r="BQ20" s="108">
        <v>6296618.5</v>
      </c>
      <c r="BR20" s="108">
        <v>0</v>
      </c>
      <c r="BS20" s="108">
        <v>0</v>
      </c>
      <c r="BT20" s="108">
        <v>0</v>
      </c>
      <c r="BU20" s="108">
        <v>271952.37</v>
      </c>
      <c r="BV20" s="108">
        <v>0</v>
      </c>
      <c r="BW20" s="108">
        <v>5559</v>
      </c>
      <c r="BX20" s="108">
        <v>5559</v>
      </c>
      <c r="BY20" s="108">
        <v>193</v>
      </c>
      <c r="BZ20" s="108">
        <v>1657079.87</v>
      </c>
      <c r="CA20" s="108">
        <v>765747.86</v>
      </c>
      <c r="CB20" s="108">
        <v>0</v>
      </c>
      <c r="CC20" s="108">
        <v>271952.37</v>
      </c>
      <c r="CD20" s="108">
        <v>372.67</v>
      </c>
      <c r="CE20" s="108">
        <v>0.22</v>
      </c>
      <c r="CF20" s="108">
        <v>128.22999999999999</v>
      </c>
      <c r="CG20" s="108">
        <v>8.67</v>
      </c>
      <c r="CH20" s="108">
        <v>8285408.5300000003</v>
      </c>
      <c r="CI20" s="108">
        <v>3645905.9</v>
      </c>
      <c r="CJ20" s="108">
        <v>1988790.03</v>
      </c>
      <c r="CK20" s="108">
        <v>0</v>
      </c>
      <c r="CL20" s="108">
        <v>0</v>
      </c>
      <c r="CM20" s="108">
        <v>265084.92</v>
      </c>
      <c r="CN20" s="108">
        <v>28756.799999999999</v>
      </c>
      <c r="CO20" s="108">
        <v>10006.200000000001</v>
      </c>
      <c r="CP20" s="108">
        <v>0</v>
      </c>
      <c r="CQ20" s="108">
        <v>8013456.1600000001</v>
      </c>
      <c r="CR20" s="108">
        <v>-1988790.03</v>
      </c>
      <c r="CS20" s="108">
        <v>0</v>
      </c>
      <c r="CT20" s="109">
        <v>0</v>
      </c>
      <c r="CU20" s="108">
        <v>60692.800000000003</v>
      </c>
      <c r="CV20" s="108">
        <v>0</v>
      </c>
      <c r="CW20" s="108">
        <v>7467022</v>
      </c>
      <c r="CX20" s="108">
        <v>0</v>
      </c>
      <c r="CY20" s="108">
        <v>0</v>
      </c>
    </row>
    <row r="21" spans="1:103" ht="14.45" customHeight="1">
      <c r="A21" s="230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 t="s">
        <v>326</v>
      </c>
      <c r="P21" s="230"/>
      <c r="Q21" s="230" t="s">
        <v>228</v>
      </c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108">
        <v>11</v>
      </c>
      <c r="BK21" s="108">
        <v>25</v>
      </c>
      <c r="BL21" s="108">
        <v>177</v>
      </c>
      <c r="BM21" s="108">
        <v>49.3</v>
      </c>
      <c r="BN21" s="108">
        <v>906172</v>
      </c>
      <c r="BO21" s="108">
        <v>0</v>
      </c>
      <c r="BP21" s="108">
        <v>6281923</v>
      </c>
      <c r="BQ21" s="108">
        <v>6281923</v>
      </c>
      <c r="BR21" s="108">
        <v>0</v>
      </c>
      <c r="BS21" s="108">
        <v>0</v>
      </c>
      <c r="BT21" s="108">
        <v>0</v>
      </c>
      <c r="BU21" s="108">
        <v>229523.52</v>
      </c>
      <c r="BV21" s="108">
        <v>0</v>
      </c>
      <c r="BW21" s="108">
        <v>2429</v>
      </c>
      <c r="BX21" s="108">
        <v>2429</v>
      </c>
      <c r="BY21" s="108">
        <v>177</v>
      </c>
      <c r="BZ21" s="108">
        <v>963979.85</v>
      </c>
      <c r="CA21" s="108">
        <v>765747.86</v>
      </c>
      <c r="CB21" s="108">
        <v>0</v>
      </c>
      <c r="CC21" s="108">
        <v>229523.52</v>
      </c>
      <c r="CD21" s="108">
        <v>360.91</v>
      </c>
      <c r="CE21" s="108">
        <v>0.12</v>
      </c>
      <c r="CF21" s="108">
        <v>128.22999999999999</v>
      </c>
      <c r="CG21" s="108">
        <v>8.43</v>
      </c>
      <c r="CH21" s="108">
        <v>8067831.54</v>
      </c>
      <c r="CI21" s="108">
        <v>2749924.39</v>
      </c>
      <c r="CJ21" s="108">
        <v>1785908.54</v>
      </c>
      <c r="CK21" s="108">
        <v>0</v>
      </c>
      <c r="CL21" s="108">
        <v>0</v>
      </c>
      <c r="CM21" s="108">
        <v>201928.84</v>
      </c>
      <c r="CN21" s="108">
        <v>28756.799999999999</v>
      </c>
      <c r="CO21" s="108">
        <v>4372.2</v>
      </c>
      <c r="CP21" s="108">
        <v>0</v>
      </c>
      <c r="CQ21" s="108">
        <v>7838308.0199999996</v>
      </c>
      <c r="CR21" s="108">
        <v>-1785908.54</v>
      </c>
      <c r="CS21" s="108">
        <v>0</v>
      </c>
      <c r="CT21" s="109">
        <v>0</v>
      </c>
      <c r="CU21" s="108">
        <v>56905.16</v>
      </c>
      <c r="CV21" s="108">
        <v>0</v>
      </c>
      <c r="CW21" s="108">
        <v>7794874</v>
      </c>
      <c r="CX21" s="108">
        <v>0</v>
      </c>
      <c r="CY21" s="108">
        <v>0</v>
      </c>
    </row>
    <row r="22" spans="1:103" ht="14.45" customHeight="1">
      <c r="A22" s="230"/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 t="s">
        <v>327</v>
      </c>
      <c r="P22" s="230"/>
      <c r="Q22" s="230" t="s">
        <v>230</v>
      </c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  <c r="AW22" s="230"/>
      <c r="AX22" s="230"/>
      <c r="AY22" s="230"/>
      <c r="AZ22" s="230"/>
      <c r="BA22" s="230"/>
      <c r="BB22" s="230"/>
      <c r="BC22" s="230"/>
      <c r="BD22" s="230"/>
      <c r="BE22" s="230"/>
      <c r="BF22" s="230"/>
      <c r="BG22" s="230"/>
      <c r="BH22" s="230"/>
      <c r="BI22" s="230"/>
      <c r="BJ22" s="108">
        <v>12</v>
      </c>
      <c r="BK22" s="108">
        <v>27</v>
      </c>
      <c r="BL22" s="108">
        <v>203</v>
      </c>
      <c r="BM22" s="108">
        <v>68</v>
      </c>
      <c r="BN22" s="108">
        <v>523074</v>
      </c>
      <c r="BO22" s="108">
        <v>0</v>
      </c>
      <c r="BP22" s="108">
        <v>6148577</v>
      </c>
      <c r="BQ22" s="108">
        <v>6148577</v>
      </c>
      <c r="BR22" s="108">
        <v>0</v>
      </c>
      <c r="BS22" s="108">
        <v>0</v>
      </c>
      <c r="BT22" s="108">
        <v>0</v>
      </c>
      <c r="BU22" s="108">
        <v>251200.44</v>
      </c>
      <c r="BV22" s="108">
        <v>29148.6</v>
      </c>
      <c r="BW22" s="108">
        <v>1655</v>
      </c>
      <c r="BX22" s="108">
        <v>1655</v>
      </c>
      <c r="BY22" s="108">
        <v>203</v>
      </c>
      <c r="BZ22" s="108">
        <v>630912.72</v>
      </c>
      <c r="CA22" s="108">
        <v>642240.14</v>
      </c>
      <c r="CB22" s="108">
        <v>0</v>
      </c>
      <c r="CC22" s="108">
        <v>280349.03999999998</v>
      </c>
      <c r="CD22" s="108">
        <v>350.87</v>
      </c>
      <c r="CE22" s="108">
        <v>0.27</v>
      </c>
      <c r="CF22" s="108">
        <v>85.16</v>
      </c>
      <c r="CG22" s="108">
        <v>8.1999999999999993</v>
      </c>
      <c r="CH22" s="108">
        <v>7728271.5099999998</v>
      </c>
      <c r="CI22" s="108">
        <v>2210631.23</v>
      </c>
      <c r="CJ22" s="108">
        <v>1579694.51</v>
      </c>
      <c r="CK22" s="108">
        <v>0</v>
      </c>
      <c r="CL22" s="108">
        <v>0</v>
      </c>
      <c r="CM22" s="108">
        <v>220082.76</v>
      </c>
      <c r="CN22" s="108">
        <v>25286.400000000001</v>
      </c>
      <c r="CO22" s="108">
        <v>2979</v>
      </c>
      <c r="CP22" s="108">
        <v>0</v>
      </c>
      <c r="CQ22" s="108">
        <v>7447922.4699999997</v>
      </c>
      <c r="CR22" s="108">
        <v>-1579694.51</v>
      </c>
      <c r="CS22" s="108">
        <v>0</v>
      </c>
      <c r="CT22" s="109">
        <v>0</v>
      </c>
      <c r="CU22" s="108">
        <v>47741.93</v>
      </c>
      <c r="CV22" s="108">
        <v>0</v>
      </c>
      <c r="CW22" s="108">
        <v>7650497</v>
      </c>
      <c r="CX22" s="108">
        <v>0</v>
      </c>
      <c r="CY22" s="108">
        <v>0</v>
      </c>
    </row>
    <row r="23" spans="1:103" ht="14.45" customHeight="1">
      <c r="A23" s="230"/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 t="s">
        <v>328</v>
      </c>
      <c r="P23" s="230"/>
      <c r="Q23" s="230" t="s">
        <v>235</v>
      </c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108">
        <v>14</v>
      </c>
      <c r="BK23" s="108">
        <v>33</v>
      </c>
      <c r="BL23" s="108">
        <v>301</v>
      </c>
      <c r="BM23" s="108">
        <v>91.2</v>
      </c>
      <c r="BN23" s="108">
        <v>1285193</v>
      </c>
      <c r="BO23" s="108">
        <v>0</v>
      </c>
      <c r="BP23" s="108">
        <v>8169559.7999999998</v>
      </c>
      <c r="BQ23" s="108">
        <v>8169559.7999999998</v>
      </c>
      <c r="BR23" s="108">
        <v>0</v>
      </c>
      <c r="BS23" s="108">
        <v>0</v>
      </c>
      <c r="BT23" s="108">
        <v>0</v>
      </c>
      <c r="BU23" s="108">
        <v>347319.95</v>
      </c>
      <c r="BV23" s="108">
        <v>28027.5</v>
      </c>
      <c r="BW23" s="108">
        <v>2953</v>
      </c>
      <c r="BX23" s="108">
        <v>2953</v>
      </c>
      <c r="BY23" s="108">
        <v>301</v>
      </c>
      <c r="BZ23" s="108">
        <v>1211801.42</v>
      </c>
      <c r="CA23" s="108">
        <v>889255.58</v>
      </c>
      <c r="CB23" s="108">
        <v>0</v>
      </c>
      <c r="CC23" s="108">
        <v>375347.45</v>
      </c>
      <c r="CD23" s="108">
        <v>629.9</v>
      </c>
      <c r="CE23" s="108">
        <v>0.45</v>
      </c>
      <c r="CF23" s="108">
        <v>171.3</v>
      </c>
      <c r="CG23" s="108">
        <v>14.67</v>
      </c>
      <c r="CH23" s="108">
        <v>10362140.699999999</v>
      </c>
      <c r="CI23" s="108">
        <v>3404430.32</v>
      </c>
      <c r="CJ23" s="108">
        <v>2192580.9</v>
      </c>
      <c r="CK23" s="108">
        <v>0</v>
      </c>
      <c r="CL23" s="108">
        <v>0</v>
      </c>
      <c r="CM23" s="108">
        <v>350420.28</v>
      </c>
      <c r="CN23" s="108">
        <v>32227.200000000001</v>
      </c>
      <c r="CO23" s="108">
        <v>5315.4</v>
      </c>
      <c r="CP23" s="108">
        <v>0</v>
      </c>
      <c r="CQ23" s="108">
        <v>9986793.25</v>
      </c>
      <c r="CR23" s="108">
        <v>-2192580.9</v>
      </c>
      <c r="CS23" s="108">
        <v>0</v>
      </c>
      <c r="CT23" s="109">
        <v>0</v>
      </c>
      <c r="CU23" s="108">
        <v>66405.27</v>
      </c>
      <c r="CV23" s="108">
        <v>0</v>
      </c>
      <c r="CW23" s="108">
        <v>8814659</v>
      </c>
      <c r="CX23" s="108">
        <v>0</v>
      </c>
      <c r="CY23" s="108">
        <v>0</v>
      </c>
    </row>
    <row r="24" spans="1:103" ht="14.45" customHeight="1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 t="s">
        <v>329</v>
      </c>
      <c r="P24" s="230"/>
      <c r="Q24" s="230" t="s">
        <v>236</v>
      </c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108">
        <v>17</v>
      </c>
      <c r="BK24" s="108">
        <v>32</v>
      </c>
      <c r="BL24" s="108">
        <v>288</v>
      </c>
      <c r="BM24" s="108">
        <v>99.45</v>
      </c>
      <c r="BN24" s="108">
        <v>1280530</v>
      </c>
      <c r="BO24" s="108">
        <v>0</v>
      </c>
      <c r="BP24" s="108">
        <v>8593932.5</v>
      </c>
      <c r="BQ24" s="108">
        <v>8593932.5</v>
      </c>
      <c r="BR24" s="108">
        <v>0</v>
      </c>
      <c r="BS24" s="108">
        <v>0</v>
      </c>
      <c r="BT24" s="108">
        <v>0</v>
      </c>
      <c r="BU24" s="108">
        <v>359202.01</v>
      </c>
      <c r="BV24" s="108">
        <v>30269.7</v>
      </c>
      <c r="BW24" s="108">
        <v>1887.5</v>
      </c>
      <c r="BX24" s="108">
        <v>1887.5</v>
      </c>
      <c r="BY24" s="108">
        <v>288</v>
      </c>
      <c r="BZ24" s="108">
        <v>942842.46</v>
      </c>
      <c r="CA24" s="108">
        <v>889255.58</v>
      </c>
      <c r="CB24" s="108">
        <v>0</v>
      </c>
      <c r="CC24" s="108">
        <v>389471.71</v>
      </c>
      <c r="CD24" s="108">
        <v>669.05</v>
      </c>
      <c r="CE24" s="108">
        <v>0.47</v>
      </c>
      <c r="CF24" s="108">
        <v>171.3</v>
      </c>
      <c r="CG24" s="108">
        <v>15.6</v>
      </c>
      <c r="CH24" s="108">
        <v>10446800.039999999</v>
      </c>
      <c r="CI24" s="108">
        <v>2795758</v>
      </c>
      <c r="CJ24" s="108">
        <v>1852867.54</v>
      </c>
      <c r="CK24" s="108">
        <v>0</v>
      </c>
      <c r="CL24" s="108">
        <v>0</v>
      </c>
      <c r="CM24" s="108">
        <v>126594.72</v>
      </c>
      <c r="CN24" s="108">
        <v>32227.200000000001</v>
      </c>
      <c r="CO24" s="108">
        <v>3397.5</v>
      </c>
      <c r="CP24" s="108">
        <v>0</v>
      </c>
      <c r="CQ24" s="108">
        <v>10057328.33</v>
      </c>
      <c r="CR24" s="108">
        <v>-1852867.54</v>
      </c>
      <c r="CS24" s="108">
        <v>0</v>
      </c>
      <c r="CT24" s="109">
        <v>0</v>
      </c>
      <c r="CU24" s="108">
        <v>53607.55</v>
      </c>
      <c r="CV24" s="108">
        <v>0</v>
      </c>
      <c r="CW24" s="108">
        <v>9165409</v>
      </c>
      <c r="CX24" s="108">
        <v>0</v>
      </c>
      <c r="CY24" s="108">
        <v>0</v>
      </c>
    </row>
    <row r="25" spans="1:103" ht="14.45" customHeight="1">
      <c r="A25" s="230"/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 t="s">
        <v>330</v>
      </c>
      <c r="P25" s="230"/>
      <c r="Q25" s="230" t="s">
        <v>237</v>
      </c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0"/>
      <c r="BD25" s="230"/>
      <c r="BE25" s="230"/>
      <c r="BF25" s="230"/>
      <c r="BG25" s="230"/>
      <c r="BH25" s="230"/>
      <c r="BI25" s="230"/>
      <c r="BJ25" s="108">
        <v>13</v>
      </c>
      <c r="BK25" s="108">
        <v>28</v>
      </c>
      <c r="BL25" s="108">
        <v>256</v>
      </c>
      <c r="BM25" s="108">
        <v>91.8</v>
      </c>
      <c r="BN25" s="108">
        <v>970682</v>
      </c>
      <c r="BO25" s="108">
        <v>0</v>
      </c>
      <c r="BP25" s="108">
        <v>7456561.5999999996</v>
      </c>
      <c r="BQ25" s="108">
        <v>7456561.5999999996</v>
      </c>
      <c r="BR25" s="108">
        <v>0</v>
      </c>
      <c r="BS25" s="108">
        <v>0</v>
      </c>
      <c r="BT25" s="108">
        <v>0</v>
      </c>
      <c r="BU25" s="108">
        <v>405478.75</v>
      </c>
      <c r="BV25" s="108">
        <v>28027.5</v>
      </c>
      <c r="BW25" s="108">
        <v>2233</v>
      </c>
      <c r="BX25" s="108">
        <v>2233</v>
      </c>
      <c r="BY25" s="108">
        <v>256</v>
      </c>
      <c r="BZ25" s="108">
        <v>835058.83</v>
      </c>
      <c r="CA25" s="108">
        <v>765747.86</v>
      </c>
      <c r="CB25" s="108">
        <v>0</v>
      </c>
      <c r="CC25" s="108">
        <v>433506.25</v>
      </c>
      <c r="CD25" s="108">
        <v>401.25</v>
      </c>
      <c r="CE25" s="108">
        <v>0.17</v>
      </c>
      <c r="CF25" s="108">
        <v>128.22999999999999</v>
      </c>
      <c r="CG25" s="108">
        <v>9.36</v>
      </c>
      <c r="CH25" s="108">
        <v>9331552.0700000003</v>
      </c>
      <c r="CI25" s="108">
        <v>2710085.3</v>
      </c>
      <c r="CJ25" s="108">
        <v>1874990.47</v>
      </c>
      <c r="CK25" s="108">
        <v>0</v>
      </c>
      <c r="CL25" s="108">
        <v>0</v>
      </c>
      <c r="CM25" s="108">
        <v>897070.36</v>
      </c>
      <c r="CN25" s="108">
        <v>28756.799999999999</v>
      </c>
      <c r="CO25" s="108">
        <v>4019.4</v>
      </c>
      <c r="CP25" s="108">
        <v>0</v>
      </c>
      <c r="CQ25" s="108">
        <v>8898045.8200000003</v>
      </c>
      <c r="CR25" s="108">
        <v>-1874990.47</v>
      </c>
      <c r="CS25" s="108">
        <v>0</v>
      </c>
      <c r="CT25" s="109">
        <v>0</v>
      </c>
      <c r="CU25" s="108">
        <v>52635.16</v>
      </c>
      <c r="CV25" s="108">
        <v>0</v>
      </c>
      <c r="CW25" s="108">
        <v>8200096</v>
      </c>
      <c r="CX25" s="108">
        <v>0</v>
      </c>
      <c r="CY25" s="108">
        <v>0</v>
      </c>
    </row>
    <row r="26" spans="1:103" ht="14.45" customHeight="1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 t="s">
        <v>331</v>
      </c>
      <c r="P26" s="230"/>
      <c r="Q26" s="230" t="s">
        <v>250</v>
      </c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108">
        <v>13</v>
      </c>
      <c r="BK26" s="108">
        <v>30</v>
      </c>
      <c r="BL26" s="108">
        <v>246</v>
      </c>
      <c r="BM26" s="108">
        <v>97.13</v>
      </c>
      <c r="BN26" s="108">
        <v>970682</v>
      </c>
      <c r="BO26" s="108">
        <v>0</v>
      </c>
      <c r="BP26" s="108">
        <v>7612445</v>
      </c>
      <c r="BQ26" s="108">
        <v>7612445</v>
      </c>
      <c r="BR26" s="108">
        <v>0</v>
      </c>
      <c r="BS26" s="108">
        <v>0</v>
      </c>
      <c r="BT26" s="108">
        <v>0</v>
      </c>
      <c r="BU26" s="108">
        <v>297379.01</v>
      </c>
      <c r="BV26" s="108">
        <v>22422</v>
      </c>
      <c r="BW26" s="108">
        <v>2337.6999999999998</v>
      </c>
      <c r="BX26" s="108">
        <v>2337.6999999999998</v>
      </c>
      <c r="BY26" s="108">
        <v>246</v>
      </c>
      <c r="BZ26" s="108">
        <v>854790.52</v>
      </c>
      <c r="CA26" s="108">
        <v>765747.86</v>
      </c>
      <c r="CB26" s="108">
        <v>0</v>
      </c>
      <c r="CC26" s="108">
        <v>319801.01</v>
      </c>
      <c r="CD26" s="108">
        <v>328.19</v>
      </c>
      <c r="CE26" s="108">
        <v>0.11</v>
      </c>
      <c r="CF26" s="108">
        <v>128.22999999999999</v>
      </c>
      <c r="CG26" s="108">
        <v>7.67</v>
      </c>
      <c r="CH26" s="108">
        <v>9580466.9700000007</v>
      </c>
      <c r="CI26" s="108">
        <v>2822848.49</v>
      </c>
      <c r="CJ26" s="108">
        <v>1968021.97</v>
      </c>
      <c r="CK26" s="108">
        <v>0</v>
      </c>
      <c r="CL26" s="108">
        <v>0</v>
      </c>
      <c r="CM26" s="108">
        <v>190348.48</v>
      </c>
      <c r="CN26" s="108">
        <v>28756.799999999999</v>
      </c>
      <c r="CO26" s="108">
        <v>4207.8599999999997</v>
      </c>
      <c r="CP26" s="108">
        <v>0</v>
      </c>
      <c r="CQ26" s="108">
        <v>9260665.9600000009</v>
      </c>
      <c r="CR26" s="108">
        <v>-1968021.97</v>
      </c>
      <c r="CS26" s="108">
        <v>0</v>
      </c>
      <c r="CT26" s="109">
        <v>0</v>
      </c>
      <c r="CU26" s="108">
        <v>60506.84</v>
      </c>
      <c r="CV26" s="108">
        <v>0</v>
      </c>
      <c r="CW26" s="108">
        <v>8581543</v>
      </c>
      <c r="CX26" s="108">
        <v>0</v>
      </c>
      <c r="CY26" s="108">
        <v>0</v>
      </c>
    </row>
    <row r="27" spans="1:103" ht="14.45" customHeight="1">
      <c r="A27" s="230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 t="s">
        <v>332</v>
      </c>
      <c r="P27" s="230"/>
      <c r="Q27" s="230" t="s">
        <v>252</v>
      </c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108">
        <v>14</v>
      </c>
      <c r="BK27" s="108">
        <v>30</v>
      </c>
      <c r="BL27" s="108">
        <v>402</v>
      </c>
      <c r="BM27" s="108">
        <v>172.16</v>
      </c>
      <c r="BN27" s="108">
        <v>244035</v>
      </c>
      <c r="BO27" s="108">
        <v>0</v>
      </c>
      <c r="BP27" s="108">
        <v>7713881</v>
      </c>
      <c r="BQ27" s="108">
        <v>7713881</v>
      </c>
      <c r="BR27" s="108">
        <v>0</v>
      </c>
      <c r="BS27" s="108">
        <v>0</v>
      </c>
      <c r="BT27" s="108">
        <v>0</v>
      </c>
      <c r="BU27" s="108">
        <v>314961.37</v>
      </c>
      <c r="BV27" s="108">
        <v>28027.5</v>
      </c>
      <c r="BW27" s="108">
        <v>4987</v>
      </c>
      <c r="BX27" s="108">
        <v>4987</v>
      </c>
      <c r="BY27" s="108">
        <v>402</v>
      </c>
      <c r="BZ27" s="108">
        <v>2014995.6</v>
      </c>
      <c r="CA27" s="108">
        <v>790449.4</v>
      </c>
      <c r="CB27" s="108">
        <v>0</v>
      </c>
      <c r="CC27" s="108">
        <v>342988.87</v>
      </c>
      <c r="CD27" s="108">
        <v>162.28</v>
      </c>
      <c r="CE27" s="108">
        <v>0.01</v>
      </c>
      <c r="CF27" s="108">
        <v>85.16</v>
      </c>
      <c r="CG27" s="108">
        <v>3.8</v>
      </c>
      <c r="CH27" s="108">
        <v>9886810.25</v>
      </c>
      <c r="CI27" s="108">
        <v>4187948.85</v>
      </c>
      <c r="CJ27" s="108">
        <v>2172929.25</v>
      </c>
      <c r="CK27" s="108">
        <v>0</v>
      </c>
      <c r="CL27" s="108">
        <v>0</v>
      </c>
      <c r="CM27" s="108">
        <v>178895.76</v>
      </c>
      <c r="CN27" s="108">
        <v>25286.400000000001</v>
      </c>
      <c r="CO27" s="108">
        <v>8976.6</v>
      </c>
      <c r="CP27" s="108">
        <v>0</v>
      </c>
      <c r="CQ27" s="108">
        <v>9543821.3800000008</v>
      </c>
      <c r="CR27" s="108">
        <v>-2172929.25</v>
      </c>
      <c r="CS27" s="108">
        <v>0</v>
      </c>
      <c r="CT27" s="109">
        <v>0</v>
      </c>
      <c r="CU27" s="108">
        <v>65611.98</v>
      </c>
      <c r="CV27" s="108">
        <v>0</v>
      </c>
      <c r="CW27" s="108">
        <v>8434796</v>
      </c>
      <c r="CX27" s="108">
        <v>0</v>
      </c>
      <c r="CY27" s="108">
        <v>0</v>
      </c>
    </row>
    <row r="28" spans="1:103" ht="14.45" customHeight="1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 t="s">
        <v>367</v>
      </c>
      <c r="P28" s="230"/>
      <c r="Q28" s="230" t="s">
        <v>209</v>
      </c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30"/>
      <c r="BG28" s="230"/>
      <c r="BH28" s="230"/>
      <c r="BI28" s="230"/>
      <c r="BJ28" s="108">
        <v>25</v>
      </c>
      <c r="BK28" s="108">
        <v>57</v>
      </c>
      <c r="BL28" s="108">
        <v>1314</v>
      </c>
      <c r="BM28" s="108">
        <v>183.02</v>
      </c>
      <c r="BN28" s="108">
        <v>663386</v>
      </c>
      <c r="BO28" s="108">
        <v>0</v>
      </c>
      <c r="BP28" s="108">
        <v>19826012</v>
      </c>
      <c r="BQ28" s="108">
        <v>19826012</v>
      </c>
      <c r="BR28" s="108">
        <v>0</v>
      </c>
      <c r="BS28" s="108">
        <v>0</v>
      </c>
      <c r="BT28" s="108">
        <v>0</v>
      </c>
      <c r="BU28" s="108">
        <v>850799.57</v>
      </c>
      <c r="BV28" s="108">
        <v>168165</v>
      </c>
      <c r="BW28" s="108">
        <v>7187</v>
      </c>
      <c r="BX28" s="108">
        <v>7187</v>
      </c>
      <c r="BY28" s="108">
        <v>1314</v>
      </c>
      <c r="BZ28" s="108">
        <v>2967592.04</v>
      </c>
      <c r="CA28" s="108">
        <v>1095101.78</v>
      </c>
      <c r="CB28" s="108">
        <v>0</v>
      </c>
      <c r="CC28" s="108">
        <v>1018964.57</v>
      </c>
      <c r="CD28" s="108">
        <v>80.27</v>
      </c>
      <c r="CE28" s="108">
        <v>0</v>
      </c>
      <c r="CF28" s="108">
        <v>41.98</v>
      </c>
      <c r="CG28" s="108">
        <v>1.91</v>
      </c>
      <c r="CH28" s="108">
        <v>24045059.140000001</v>
      </c>
      <c r="CI28" s="108">
        <v>7130109.1399999997</v>
      </c>
      <c r="CJ28" s="108">
        <v>4219047.1399999997</v>
      </c>
      <c r="CK28" s="108">
        <v>0</v>
      </c>
      <c r="CL28" s="108">
        <v>0</v>
      </c>
      <c r="CM28" s="108">
        <v>762115.64</v>
      </c>
      <c r="CN28" s="108">
        <v>21816</v>
      </c>
      <c r="CO28" s="108">
        <v>12936.6</v>
      </c>
      <c r="CP28" s="108">
        <v>0</v>
      </c>
      <c r="CQ28" s="108">
        <v>23026094.57</v>
      </c>
      <c r="CR28" s="108">
        <v>-4219047.1399999997</v>
      </c>
      <c r="CS28" s="108">
        <v>0</v>
      </c>
      <c r="CT28" s="109">
        <v>0</v>
      </c>
      <c r="CU28" s="108">
        <v>114593.15</v>
      </c>
      <c r="CV28" s="108">
        <v>0</v>
      </c>
      <c r="CW28" s="108">
        <v>20887303</v>
      </c>
      <c r="CX28" s="108">
        <v>0</v>
      </c>
      <c r="CY28" s="108">
        <v>0</v>
      </c>
    </row>
    <row r="29" spans="1:103" ht="14.45" customHeight="1">
      <c r="A29" s="230"/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 t="s">
        <v>368</v>
      </c>
      <c r="P29" s="230"/>
      <c r="Q29" s="230" t="s">
        <v>206</v>
      </c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108">
        <v>17</v>
      </c>
      <c r="BK29" s="108">
        <v>39</v>
      </c>
      <c r="BL29" s="108">
        <v>763</v>
      </c>
      <c r="BM29" s="108">
        <v>163.13</v>
      </c>
      <c r="BN29" s="108">
        <v>339108</v>
      </c>
      <c r="BO29" s="108">
        <v>0</v>
      </c>
      <c r="BP29" s="108">
        <v>13657840</v>
      </c>
      <c r="BQ29" s="108">
        <v>13657840</v>
      </c>
      <c r="BR29" s="108">
        <v>0</v>
      </c>
      <c r="BS29" s="108">
        <v>0</v>
      </c>
      <c r="BT29" s="108">
        <v>0</v>
      </c>
      <c r="BU29" s="108">
        <v>512581.16</v>
      </c>
      <c r="BV29" s="108">
        <v>112110</v>
      </c>
      <c r="BW29" s="108">
        <v>2334</v>
      </c>
      <c r="BX29" s="108">
        <v>2334</v>
      </c>
      <c r="BY29" s="108">
        <v>763</v>
      </c>
      <c r="BZ29" s="108">
        <v>1250507.26</v>
      </c>
      <c r="CA29" s="108">
        <v>889255.58</v>
      </c>
      <c r="CB29" s="108">
        <v>0</v>
      </c>
      <c r="CC29" s="108">
        <v>624691.16</v>
      </c>
      <c r="CD29" s="108">
        <v>148.6</v>
      </c>
      <c r="CE29" s="108">
        <v>0.01</v>
      </c>
      <c r="CF29" s="108">
        <v>41.98</v>
      </c>
      <c r="CG29" s="108">
        <v>3.54</v>
      </c>
      <c r="CH29" s="108">
        <v>16757786.720000001</v>
      </c>
      <c r="CI29" s="108">
        <v>4317569.58</v>
      </c>
      <c r="CJ29" s="108">
        <v>3099946.72</v>
      </c>
      <c r="CK29" s="108">
        <v>0</v>
      </c>
      <c r="CL29" s="108">
        <v>0</v>
      </c>
      <c r="CM29" s="108">
        <v>287835.24</v>
      </c>
      <c r="CN29" s="108">
        <v>21816</v>
      </c>
      <c r="CO29" s="108">
        <v>4201.2</v>
      </c>
      <c r="CP29" s="108">
        <v>0</v>
      </c>
      <c r="CQ29" s="108">
        <v>16133095.560000001</v>
      </c>
      <c r="CR29" s="108">
        <v>-3099946.72</v>
      </c>
      <c r="CS29" s="108">
        <v>0</v>
      </c>
      <c r="CT29" s="109">
        <v>0</v>
      </c>
      <c r="CU29" s="108">
        <v>91320.38</v>
      </c>
      <c r="CV29" s="108">
        <v>0</v>
      </c>
      <c r="CW29" s="108">
        <v>15631571</v>
      </c>
      <c r="CX29" s="108">
        <v>0</v>
      </c>
      <c r="CY29" s="108">
        <v>0</v>
      </c>
    </row>
    <row r="30" spans="1:103" ht="14.45" customHeight="1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 t="s">
        <v>93</v>
      </c>
      <c r="P30" s="230"/>
      <c r="Q30" s="230" t="s">
        <v>207</v>
      </c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108">
        <v>32</v>
      </c>
      <c r="BK30" s="108">
        <v>73</v>
      </c>
      <c r="BL30" s="108">
        <v>1743</v>
      </c>
      <c r="BM30" s="108">
        <v>351.09</v>
      </c>
      <c r="BN30" s="108">
        <v>477566</v>
      </c>
      <c r="BO30" s="108">
        <v>0</v>
      </c>
      <c r="BP30" s="108">
        <v>26432856.300000001</v>
      </c>
      <c r="BQ30" s="108">
        <v>26432856.300000001</v>
      </c>
      <c r="BR30" s="108">
        <v>0</v>
      </c>
      <c r="BS30" s="108">
        <v>0</v>
      </c>
      <c r="BT30" s="108">
        <v>0</v>
      </c>
      <c r="BU30" s="108">
        <v>935537.57</v>
      </c>
      <c r="BV30" s="108">
        <v>252247.5</v>
      </c>
      <c r="BW30" s="108">
        <v>7570.4</v>
      </c>
      <c r="BX30" s="108">
        <v>7570.4</v>
      </c>
      <c r="BY30" s="108">
        <v>1743</v>
      </c>
      <c r="BZ30" s="108">
        <v>3451166.44</v>
      </c>
      <c r="CA30" s="108">
        <v>1177440.26</v>
      </c>
      <c r="CB30" s="108">
        <v>0</v>
      </c>
      <c r="CC30" s="108">
        <v>1187785.07</v>
      </c>
      <c r="CD30" s="108">
        <v>81.2</v>
      </c>
      <c r="CE30" s="108">
        <v>0</v>
      </c>
      <c r="CF30" s="108">
        <v>41.98</v>
      </c>
      <c r="CG30" s="108">
        <v>1.93</v>
      </c>
      <c r="CH30" s="108">
        <v>30656197.59</v>
      </c>
      <c r="CI30" s="108">
        <v>7599260.0199999996</v>
      </c>
      <c r="CJ30" s="108">
        <v>4223341.29</v>
      </c>
      <c r="CK30" s="108">
        <v>0</v>
      </c>
      <c r="CL30" s="108">
        <v>0</v>
      </c>
      <c r="CM30" s="108">
        <v>3129553.6</v>
      </c>
      <c r="CN30" s="108">
        <v>21816</v>
      </c>
      <c r="CO30" s="108">
        <v>13626.72</v>
      </c>
      <c r="CP30" s="108">
        <v>0</v>
      </c>
      <c r="CQ30" s="108">
        <v>29468412.52</v>
      </c>
      <c r="CR30" s="108">
        <v>-4223341.29</v>
      </c>
      <c r="CS30" s="108">
        <v>0</v>
      </c>
      <c r="CT30" s="109">
        <v>0</v>
      </c>
      <c r="CU30" s="108">
        <v>107253.33</v>
      </c>
      <c r="CV30" s="108">
        <v>0</v>
      </c>
      <c r="CW30" s="108">
        <v>27361831</v>
      </c>
      <c r="CX30" s="108">
        <v>0</v>
      </c>
      <c r="CY30" s="108">
        <v>0</v>
      </c>
    </row>
    <row r="31" spans="1:103" ht="14.45" customHeight="1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 t="s">
        <v>369</v>
      </c>
      <c r="P31" s="230"/>
      <c r="Q31" s="230" t="s">
        <v>208</v>
      </c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108">
        <v>22</v>
      </c>
      <c r="BK31" s="108">
        <v>50</v>
      </c>
      <c r="BL31" s="108">
        <v>1229</v>
      </c>
      <c r="BM31" s="108">
        <v>185.16</v>
      </c>
      <c r="BN31" s="108">
        <v>314879</v>
      </c>
      <c r="BO31" s="108">
        <v>0</v>
      </c>
      <c r="BP31" s="108">
        <v>16887696</v>
      </c>
      <c r="BQ31" s="108">
        <v>16887696</v>
      </c>
      <c r="BR31" s="108">
        <v>0</v>
      </c>
      <c r="BS31" s="108">
        <v>0</v>
      </c>
      <c r="BT31" s="108">
        <v>0</v>
      </c>
      <c r="BU31" s="108">
        <v>647649.13</v>
      </c>
      <c r="BV31" s="108">
        <v>112110</v>
      </c>
      <c r="BW31" s="108">
        <v>3551</v>
      </c>
      <c r="BX31" s="108">
        <v>3551</v>
      </c>
      <c r="BY31" s="108">
        <v>1229</v>
      </c>
      <c r="BZ31" s="108">
        <v>1985335.16</v>
      </c>
      <c r="CA31" s="108">
        <v>1095101.78</v>
      </c>
      <c r="CB31" s="108">
        <v>0</v>
      </c>
      <c r="CC31" s="108">
        <v>759759.13</v>
      </c>
      <c r="CD31" s="108">
        <v>115.58</v>
      </c>
      <c r="CE31" s="108">
        <v>0</v>
      </c>
      <c r="CF31" s="108">
        <v>41.98</v>
      </c>
      <c r="CG31" s="108">
        <v>2.75</v>
      </c>
      <c r="CH31" s="108">
        <v>20043961.870000001</v>
      </c>
      <c r="CI31" s="108">
        <v>5088529.22</v>
      </c>
      <c r="CJ31" s="108">
        <v>3156265.87</v>
      </c>
      <c r="CK31" s="108">
        <v>0</v>
      </c>
      <c r="CL31" s="108">
        <v>0</v>
      </c>
      <c r="CM31" s="108">
        <v>581846.19999999995</v>
      </c>
      <c r="CN31" s="108">
        <v>21816</v>
      </c>
      <c r="CO31" s="108">
        <v>6391.8</v>
      </c>
      <c r="CP31" s="108">
        <v>0</v>
      </c>
      <c r="CQ31" s="108">
        <v>19284202.739999998</v>
      </c>
      <c r="CR31" s="108">
        <v>-3156265.87</v>
      </c>
      <c r="CS31" s="108">
        <v>0</v>
      </c>
      <c r="CT31" s="109">
        <v>0</v>
      </c>
      <c r="CU31" s="108">
        <v>86588.35</v>
      </c>
      <c r="CV31" s="108">
        <v>0</v>
      </c>
      <c r="CW31" s="108">
        <v>17284303</v>
      </c>
      <c r="CX31" s="108">
        <v>0</v>
      </c>
      <c r="CY31" s="108">
        <v>0</v>
      </c>
    </row>
    <row r="32" spans="1:103" ht="14.45" customHeight="1">
      <c r="A32" s="230"/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 t="s">
        <v>370</v>
      </c>
      <c r="P32" s="230"/>
      <c r="Q32" s="230" t="s">
        <v>189</v>
      </c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108">
        <v>9</v>
      </c>
      <c r="BK32" s="108">
        <v>23</v>
      </c>
      <c r="BL32" s="108">
        <v>169</v>
      </c>
      <c r="BM32" s="108">
        <v>56.1</v>
      </c>
      <c r="BN32" s="108">
        <v>149009</v>
      </c>
      <c r="BO32" s="108">
        <v>0</v>
      </c>
      <c r="BP32" s="108">
        <v>5185906.5</v>
      </c>
      <c r="BQ32" s="108">
        <v>5185906.5</v>
      </c>
      <c r="BR32" s="108">
        <v>0</v>
      </c>
      <c r="BS32" s="108">
        <v>0</v>
      </c>
      <c r="BT32" s="108">
        <v>0</v>
      </c>
      <c r="BU32" s="108">
        <v>211999.47</v>
      </c>
      <c r="BV32" s="108">
        <v>23543.1</v>
      </c>
      <c r="BW32" s="108">
        <v>2147</v>
      </c>
      <c r="BX32" s="108">
        <v>2147</v>
      </c>
      <c r="BY32" s="108">
        <v>169</v>
      </c>
      <c r="BZ32" s="108">
        <v>683679.09</v>
      </c>
      <c r="CA32" s="108">
        <v>518732.42</v>
      </c>
      <c r="CB32" s="108">
        <v>0</v>
      </c>
      <c r="CC32" s="108">
        <v>235542.57</v>
      </c>
      <c r="CD32" s="108">
        <v>77.02</v>
      </c>
      <c r="CE32" s="108">
        <v>0</v>
      </c>
      <c r="CF32" s="108">
        <v>42.09</v>
      </c>
      <c r="CG32" s="108">
        <v>1.83</v>
      </c>
      <c r="CH32" s="108">
        <v>6538677.3099999996</v>
      </c>
      <c r="CI32" s="108">
        <v>2036461.9</v>
      </c>
      <c r="CJ32" s="108">
        <v>1352770.81</v>
      </c>
      <c r="CK32" s="108">
        <v>0</v>
      </c>
      <c r="CL32" s="108">
        <v>0</v>
      </c>
      <c r="CM32" s="108">
        <v>570790.96</v>
      </c>
      <c r="CN32" s="108">
        <v>21816</v>
      </c>
      <c r="CO32" s="108">
        <v>3864.6</v>
      </c>
      <c r="CP32" s="108">
        <v>0</v>
      </c>
      <c r="CQ32" s="108">
        <v>6303134.7400000002</v>
      </c>
      <c r="CR32" s="108">
        <v>-1352770.81</v>
      </c>
      <c r="CS32" s="108">
        <v>0</v>
      </c>
      <c r="CT32" s="109">
        <v>0</v>
      </c>
      <c r="CU32" s="108">
        <v>40496.22</v>
      </c>
      <c r="CV32" s="108">
        <v>0</v>
      </c>
      <c r="CW32" s="108">
        <v>6939671</v>
      </c>
      <c r="CX32" s="108">
        <v>0</v>
      </c>
      <c r="CY32" s="108">
        <v>0</v>
      </c>
    </row>
    <row r="33" spans="1:103" ht="14.45" customHeight="1">
      <c r="A33" s="230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 t="s">
        <v>371</v>
      </c>
      <c r="P33" s="230"/>
      <c r="Q33" s="230" t="s">
        <v>211</v>
      </c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108">
        <v>10</v>
      </c>
      <c r="BK33" s="108">
        <v>23</v>
      </c>
      <c r="BL33" s="108">
        <v>173</v>
      </c>
      <c r="BM33" s="108">
        <v>61.5</v>
      </c>
      <c r="BN33" s="108">
        <v>213868</v>
      </c>
      <c r="BO33" s="108">
        <v>0</v>
      </c>
      <c r="BP33" s="108">
        <v>5279559</v>
      </c>
      <c r="BQ33" s="108">
        <v>5279559</v>
      </c>
      <c r="BR33" s="108">
        <v>0</v>
      </c>
      <c r="BS33" s="108">
        <v>0</v>
      </c>
      <c r="BT33" s="108">
        <v>0</v>
      </c>
      <c r="BU33" s="108">
        <v>220372.82</v>
      </c>
      <c r="BV33" s="108">
        <v>31390.799999999999</v>
      </c>
      <c r="BW33" s="108">
        <v>1769</v>
      </c>
      <c r="BX33" s="108">
        <v>1769</v>
      </c>
      <c r="BY33" s="108">
        <v>173</v>
      </c>
      <c r="BZ33" s="108">
        <v>591607.1</v>
      </c>
      <c r="CA33" s="108">
        <v>518732.42</v>
      </c>
      <c r="CB33" s="108">
        <v>0</v>
      </c>
      <c r="CC33" s="108">
        <v>251763.62</v>
      </c>
      <c r="CD33" s="108">
        <v>85.17</v>
      </c>
      <c r="CE33" s="108">
        <v>0</v>
      </c>
      <c r="CF33" s="108">
        <v>42.09</v>
      </c>
      <c r="CG33" s="108">
        <v>2.02</v>
      </c>
      <c r="CH33" s="108">
        <v>6544369.3399999999</v>
      </c>
      <c r="CI33" s="108">
        <v>1856429.44</v>
      </c>
      <c r="CJ33" s="108">
        <v>1264810.3400000001</v>
      </c>
      <c r="CK33" s="108">
        <v>0</v>
      </c>
      <c r="CL33" s="108">
        <v>0</v>
      </c>
      <c r="CM33" s="108">
        <v>489703.6</v>
      </c>
      <c r="CN33" s="108">
        <v>21816</v>
      </c>
      <c r="CO33" s="108">
        <v>3184.2</v>
      </c>
      <c r="CP33" s="108">
        <v>0</v>
      </c>
      <c r="CQ33" s="108">
        <v>6292605.7199999997</v>
      </c>
      <c r="CR33" s="108">
        <v>-1264810.3400000001</v>
      </c>
      <c r="CS33" s="108">
        <v>0</v>
      </c>
      <c r="CT33" s="109">
        <v>0</v>
      </c>
      <c r="CU33" s="108">
        <v>36777.1</v>
      </c>
      <c r="CV33" s="108">
        <v>0</v>
      </c>
      <c r="CW33" s="108">
        <v>7080282</v>
      </c>
      <c r="CX33" s="108">
        <v>0</v>
      </c>
      <c r="CY33" s="108">
        <v>0</v>
      </c>
    </row>
    <row r="34" spans="1:103" ht="14.45" customHeight="1">
      <c r="A34" s="230"/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 t="s">
        <v>372</v>
      </c>
      <c r="P34" s="230"/>
      <c r="Q34" s="230" t="s">
        <v>212</v>
      </c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108">
        <v>11</v>
      </c>
      <c r="BK34" s="108">
        <v>23</v>
      </c>
      <c r="BL34" s="108">
        <v>237</v>
      </c>
      <c r="BM34" s="108">
        <v>76.2</v>
      </c>
      <c r="BN34" s="108">
        <v>144346</v>
      </c>
      <c r="BO34" s="108">
        <v>0</v>
      </c>
      <c r="BP34" s="108">
        <v>5860184</v>
      </c>
      <c r="BQ34" s="108">
        <v>5860184</v>
      </c>
      <c r="BR34" s="108">
        <v>0</v>
      </c>
      <c r="BS34" s="108">
        <v>0</v>
      </c>
      <c r="BT34" s="108">
        <v>0</v>
      </c>
      <c r="BU34" s="108">
        <v>198188.36</v>
      </c>
      <c r="BV34" s="108">
        <v>28027.5</v>
      </c>
      <c r="BW34" s="108">
        <v>1377</v>
      </c>
      <c r="BX34" s="108">
        <v>1377</v>
      </c>
      <c r="BY34" s="108">
        <v>237</v>
      </c>
      <c r="BZ34" s="108">
        <v>549606.36</v>
      </c>
      <c r="CA34" s="108">
        <v>518732.42</v>
      </c>
      <c r="CB34" s="108">
        <v>0</v>
      </c>
      <c r="CC34" s="108">
        <v>226215.86</v>
      </c>
      <c r="CD34" s="108">
        <v>122.58</v>
      </c>
      <c r="CE34" s="108">
        <v>0.01</v>
      </c>
      <c r="CF34" s="108">
        <v>42.09</v>
      </c>
      <c r="CG34" s="108">
        <v>2.91</v>
      </c>
      <c r="CH34" s="108">
        <v>7396240.6600000001</v>
      </c>
      <c r="CI34" s="108">
        <v>2085675.02</v>
      </c>
      <c r="CJ34" s="108">
        <v>1536056.66</v>
      </c>
      <c r="CK34" s="108">
        <v>0</v>
      </c>
      <c r="CL34" s="108">
        <v>0</v>
      </c>
      <c r="CM34" s="108">
        <v>88288.8</v>
      </c>
      <c r="CN34" s="108">
        <v>21816</v>
      </c>
      <c r="CO34" s="108">
        <v>2478.6</v>
      </c>
      <c r="CP34" s="108">
        <v>0</v>
      </c>
      <c r="CQ34" s="108">
        <v>7170024.7999999998</v>
      </c>
      <c r="CR34" s="108">
        <v>-1536056.66</v>
      </c>
      <c r="CS34" s="108">
        <v>0</v>
      </c>
      <c r="CT34" s="109">
        <v>0</v>
      </c>
      <c r="CU34" s="108">
        <v>48490.78</v>
      </c>
      <c r="CV34" s="108">
        <v>0</v>
      </c>
      <c r="CW34" s="108">
        <v>6893041</v>
      </c>
      <c r="CX34" s="108">
        <v>0</v>
      </c>
      <c r="CY34" s="108">
        <v>0</v>
      </c>
    </row>
    <row r="35" spans="1:103" ht="14.45" customHeight="1">
      <c r="A35" s="230"/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 t="s">
        <v>373</v>
      </c>
      <c r="P35" s="230"/>
      <c r="Q35" s="230" t="s">
        <v>214</v>
      </c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108">
        <v>9</v>
      </c>
      <c r="BK35" s="108">
        <v>23</v>
      </c>
      <c r="BL35" s="108">
        <v>203</v>
      </c>
      <c r="BM35" s="108">
        <v>75.900000000000006</v>
      </c>
      <c r="BN35" s="108">
        <v>144346</v>
      </c>
      <c r="BO35" s="108">
        <v>0</v>
      </c>
      <c r="BP35" s="108">
        <v>5547221.5</v>
      </c>
      <c r="BQ35" s="108">
        <v>5547221.5</v>
      </c>
      <c r="BR35" s="108">
        <v>0</v>
      </c>
      <c r="BS35" s="108">
        <v>0</v>
      </c>
      <c r="BT35" s="108">
        <v>0</v>
      </c>
      <c r="BU35" s="108">
        <v>215545.06</v>
      </c>
      <c r="BV35" s="108">
        <v>26906.400000000001</v>
      </c>
      <c r="BW35" s="108">
        <v>2969</v>
      </c>
      <c r="BX35" s="108">
        <v>2969</v>
      </c>
      <c r="BY35" s="108">
        <v>203</v>
      </c>
      <c r="BZ35" s="108">
        <v>922052.87</v>
      </c>
      <c r="CA35" s="108">
        <v>518732.42</v>
      </c>
      <c r="CB35" s="108">
        <v>0</v>
      </c>
      <c r="CC35" s="108">
        <v>242451.46</v>
      </c>
      <c r="CD35" s="108">
        <v>60.1</v>
      </c>
      <c r="CE35" s="108">
        <v>0</v>
      </c>
      <c r="CF35" s="108">
        <v>42.09</v>
      </c>
      <c r="CG35" s="108">
        <v>1.43</v>
      </c>
      <c r="CH35" s="108">
        <v>6814349.1200000001</v>
      </c>
      <c r="CI35" s="108">
        <v>2189192.4900000002</v>
      </c>
      <c r="CJ35" s="108">
        <v>1267127.6200000001</v>
      </c>
      <c r="CK35" s="108">
        <v>0</v>
      </c>
      <c r="CL35" s="108">
        <v>0</v>
      </c>
      <c r="CM35" s="108">
        <v>378709.32</v>
      </c>
      <c r="CN35" s="108">
        <v>21816</v>
      </c>
      <c r="CO35" s="108">
        <v>5344.2</v>
      </c>
      <c r="CP35" s="108">
        <v>0</v>
      </c>
      <c r="CQ35" s="108">
        <v>6571897.6600000001</v>
      </c>
      <c r="CR35" s="108">
        <v>-1267127.6200000001</v>
      </c>
      <c r="CS35" s="108">
        <v>0</v>
      </c>
      <c r="CT35" s="109">
        <v>0</v>
      </c>
      <c r="CU35" s="108">
        <v>36310.54</v>
      </c>
      <c r="CV35" s="108">
        <v>0</v>
      </c>
      <c r="CW35" s="108">
        <v>6893041</v>
      </c>
      <c r="CX35" s="108">
        <v>0</v>
      </c>
      <c r="CY35" s="108">
        <v>0</v>
      </c>
    </row>
    <row r="36" spans="1:103" ht="14.45" customHeight="1">
      <c r="A36" s="230"/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 t="s">
        <v>374</v>
      </c>
      <c r="P36" s="230"/>
      <c r="Q36" s="230" t="s">
        <v>232</v>
      </c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108">
        <v>20</v>
      </c>
      <c r="BK36" s="108">
        <v>45</v>
      </c>
      <c r="BL36" s="108">
        <v>844</v>
      </c>
      <c r="BM36" s="108">
        <v>148.56</v>
      </c>
      <c r="BN36" s="108">
        <v>408727</v>
      </c>
      <c r="BO36" s="108">
        <v>0</v>
      </c>
      <c r="BP36" s="108">
        <v>13919240.6</v>
      </c>
      <c r="BQ36" s="108">
        <v>13919240.6</v>
      </c>
      <c r="BR36" s="108">
        <v>0</v>
      </c>
      <c r="BS36" s="108">
        <v>0</v>
      </c>
      <c r="BT36" s="108">
        <v>0</v>
      </c>
      <c r="BU36" s="108">
        <v>511836.6</v>
      </c>
      <c r="BV36" s="108">
        <v>84082.5</v>
      </c>
      <c r="BW36" s="108">
        <v>5655.9</v>
      </c>
      <c r="BX36" s="108">
        <v>5655.9</v>
      </c>
      <c r="BY36" s="108">
        <v>844</v>
      </c>
      <c r="BZ36" s="108">
        <v>2167872.4700000002</v>
      </c>
      <c r="CA36" s="108">
        <v>930424.82</v>
      </c>
      <c r="CB36" s="108">
        <v>0</v>
      </c>
      <c r="CC36" s="108">
        <v>595919.1</v>
      </c>
      <c r="CD36" s="108">
        <v>74.44</v>
      </c>
      <c r="CE36" s="108">
        <v>0</v>
      </c>
      <c r="CF36" s="108">
        <v>42.09</v>
      </c>
      <c r="CG36" s="108">
        <v>1.77</v>
      </c>
      <c r="CH36" s="108">
        <v>16992740.129999999</v>
      </c>
      <c r="CI36" s="108">
        <v>5204942.92</v>
      </c>
      <c r="CJ36" s="108">
        <v>3073499.53</v>
      </c>
      <c r="CK36" s="108">
        <v>0</v>
      </c>
      <c r="CL36" s="108">
        <v>0</v>
      </c>
      <c r="CM36" s="108">
        <v>1883080.52</v>
      </c>
      <c r="CN36" s="108">
        <v>21816</v>
      </c>
      <c r="CO36" s="108">
        <v>10180.620000000001</v>
      </c>
      <c r="CP36" s="108">
        <v>0</v>
      </c>
      <c r="CQ36" s="108">
        <v>16396821.029999999</v>
      </c>
      <c r="CR36" s="108">
        <v>-3073499.53</v>
      </c>
      <c r="CS36" s="108">
        <v>0</v>
      </c>
      <c r="CT36" s="109">
        <v>0</v>
      </c>
      <c r="CU36" s="108">
        <v>88743.71</v>
      </c>
      <c r="CV36" s="108">
        <v>0</v>
      </c>
      <c r="CW36" s="108">
        <v>13290980</v>
      </c>
      <c r="CX36" s="108">
        <v>0</v>
      </c>
      <c r="CY36" s="108">
        <v>0</v>
      </c>
    </row>
    <row r="37" spans="1:103" ht="14.45" customHeight="1">
      <c r="A37" s="230"/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 t="s">
        <v>375</v>
      </c>
      <c r="P37" s="230"/>
      <c r="Q37" s="230" t="s">
        <v>215</v>
      </c>
      <c r="R37" s="230"/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  <c r="AV37" s="230"/>
      <c r="AW37" s="230"/>
      <c r="AX37" s="230"/>
      <c r="AY37" s="230"/>
      <c r="AZ37" s="230"/>
      <c r="BA37" s="230"/>
      <c r="BB37" s="230"/>
      <c r="BC37" s="230"/>
      <c r="BD37" s="230"/>
      <c r="BE37" s="230"/>
      <c r="BF37" s="230"/>
      <c r="BG37" s="230"/>
      <c r="BH37" s="230"/>
      <c r="BI37" s="230"/>
      <c r="BJ37" s="108">
        <v>10</v>
      </c>
      <c r="BK37" s="108">
        <v>22</v>
      </c>
      <c r="BL37" s="108">
        <v>184</v>
      </c>
      <c r="BM37" s="108">
        <v>47</v>
      </c>
      <c r="BN37" s="108">
        <v>137007</v>
      </c>
      <c r="BO37" s="108">
        <v>0</v>
      </c>
      <c r="BP37" s="108">
        <v>5438382</v>
      </c>
      <c r="BQ37" s="108">
        <v>5438382</v>
      </c>
      <c r="BR37" s="108">
        <v>0</v>
      </c>
      <c r="BS37" s="108">
        <v>0</v>
      </c>
      <c r="BT37" s="108">
        <v>0</v>
      </c>
      <c r="BU37" s="108">
        <v>187180.34</v>
      </c>
      <c r="BV37" s="108">
        <v>0</v>
      </c>
      <c r="BW37" s="108">
        <v>2399</v>
      </c>
      <c r="BX37" s="108">
        <v>2399</v>
      </c>
      <c r="BY37" s="108">
        <v>184</v>
      </c>
      <c r="BZ37" s="108">
        <v>771440.27</v>
      </c>
      <c r="CA37" s="108">
        <v>518732.42</v>
      </c>
      <c r="CB37" s="108">
        <v>0</v>
      </c>
      <c r="CC37" s="108">
        <v>187180.34</v>
      </c>
      <c r="CD37" s="108">
        <v>76.010000000000005</v>
      </c>
      <c r="CE37" s="108">
        <v>0</v>
      </c>
      <c r="CF37" s="108">
        <v>42.09</v>
      </c>
      <c r="CG37" s="108">
        <v>1.81</v>
      </c>
      <c r="CH37" s="108">
        <v>6901434.9800000004</v>
      </c>
      <c r="CI37" s="108">
        <v>2234505.25</v>
      </c>
      <c r="CJ37" s="108">
        <v>1463052.98</v>
      </c>
      <c r="CK37" s="108">
        <v>0</v>
      </c>
      <c r="CL37" s="108">
        <v>0</v>
      </c>
      <c r="CM37" s="108">
        <v>153544.04</v>
      </c>
      <c r="CN37" s="108">
        <v>21816</v>
      </c>
      <c r="CO37" s="108">
        <v>4318.2</v>
      </c>
      <c r="CP37" s="108">
        <v>0</v>
      </c>
      <c r="CQ37" s="108">
        <v>6714254.6399999997</v>
      </c>
      <c r="CR37" s="108">
        <v>-1463052.98</v>
      </c>
      <c r="CS37" s="108">
        <v>0</v>
      </c>
      <c r="CT37" s="109">
        <v>0</v>
      </c>
      <c r="CU37" s="108">
        <v>46406.02</v>
      </c>
      <c r="CV37" s="108">
        <v>0</v>
      </c>
      <c r="CW37" s="108">
        <v>6709566</v>
      </c>
      <c r="CX37" s="108">
        <v>0</v>
      </c>
      <c r="CY37" s="108">
        <v>0</v>
      </c>
    </row>
    <row r="38" spans="1:103" ht="14.45" customHeight="1">
      <c r="A38" s="230"/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 t="s">
        <v>122</v>
      </c>
      <c r="P38" s="230"/>
      <c r="Q38" s="230" t="s">
        <v>196</v>
      </c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AW38" s="230"/>
      <c r="AX38" s="230"/>
      <c r="AY38" s="230"/>
      <c r="AZ38" s="230"/>
      <c r="BA38" s="230"/>
      <c r="BB38" s="230"/>
      <c r="BC38" s="230"/>
      <c r="BD38" s="230"/>
      <c r="BE38" s="230"/>
      <c r="BF38" s="230"/>
      <c r="BG38" s="230"/>
      <c r="BH38" s="230"/>
      <c r="BI38" s="230"/>
      <c r="BJ38" s="108">
        <v>8</v>
      </c>
      <c r="BK38" s="108">
        <v>8</v>
      </c>
      <c r="BL38" s="108">
        <v>200</v>
      </c>
      <c r="BM38" s="108">
        <v>50</v>
      </c>
      <c r="BN38" s="108">
        <v>58376</v>
      </c>
      <c r="BO38" s="108">
        <v>0</v>
      </c>
      <c r="BP38" s="108">
        <v>3847894</v>
      </c>
      <c r="BQ38" s="108">
        <v>3847894</v>
      </c>
      <c r="BR38" s="108">
        <v>0</v>
      </c>
      <c r="BS38" s="108">
        <v>0</v>
      </c>
      <c r="BT38" s="108">
        <v>0</v>
      </c>
      <c r="BU38" s="108">
        <v>0</v>
      </c>
      <c r="BV38" s="108">
        <v>0</v>
      </c>
      <c r="BW38" s="108">
        <v>258.5</v>
      </c>
      <c r="BX38" s="108">
        <v>258.5</v>
      </c>
      <c r="BY38" s="108">
        <v>200</v>
      </c>
      <c r="BZ38" s="108">
        <v>83007.100000000006</v>
      </c>
      <c r="CA38" s="108">
        <v>436393.94</v>
      </c>
      <c r="CB38" s="108">
        <v>0</v>
      </c>
      <c r="CC38" s="108">
        <v>0</v>
      </c>
      <c r="CD38" s="108">
        <v>188.77</v>
      </c>
      <c r="CE38" s="108">
        <v>0.06</v>
      </c>
      <c r="CF38" s="108">
        <v>38.64</v>
      </c>
      <c r="CG38" s="108">
        <v>4.8899999999999997</v>
      </c>
      <c r="CH38" s="108">
        <v>4375170.17</v>
      </c>
      <c r="CI38" s="108">
        <v>605324.06000000006</v>
      </c>
      <c r="CJ38" s="108">
        <v>527276.17000000004</v>
      </c>
      <c r="CK38" s="108">
        <v>0</v>
      </c>
      <c r="CL38" s="108">
        <v>0</v>
      </c>
      <c r="CM38" s="108">
        <v>2639</v>
      </c>
      <c r="CN38" s="108">
        <v>3470.4</v>
      </c>
      <c r="CO38" s="108">
        <v>465.3</v>
      </c>
      <c r="CP38" s="108">
        <v>0</v>
      </c>
      <c r="CQ38" s="108">
        <v>4375170.17</v>
      </c>
      <c r="CR38" s="108">
        <v>-527276.17000000004</v>
      </c>
      <c r="CS38" s="108">
        <v>0</v>
      </c>
      <c r="CT38" s="109">
        <v>0</v>
      </c>
      <c r="CU38" s="108">
        <v>19758.32</v>
      </c>
      <c r="CV38" s="108">
        <v>0</v>
      </c>
      <c r="CW38" s="108">
        <v>3241830</v>
      </c>
      <c r="CX38" s="108">
        <v>0</v>
      </c>
      <c r="CY38" s="108">
        <v>0</v>
      </c>
    </row>
    <row r="39" spans="1:103" ht="14.45" customHeight="1">
      <c r="A39" s="230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 t="s">
        <v>333</v>
      </c>
      <c r="P39" s="230"/>
      <c r="Q39" s="230" t="s">
        <v>242</v>
      </c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0"/>
      <c r="BD39" s="230"/>
      <c r="BE39" s="230"/>
      <c r="BF39" s="230"/>
      <c r="BG39" s="230"/>
      <c r="BH39" s="230"/>
      <c r="BI39" s="230"/>
      <c r="BJ39" s="108">
        <v>9</v>
      </c>
      <c r="BK39" s="108">
        <v>20</v>
      </c>
      <c r="BL39" s="108">
        <v>120</v>
      </c>
      <c r="BM39" s="108">
        <v>27.2</v>
      </c>
      <c r="BN39" s="108">
        <v>648867</v>
      </c>
      <c r="BO39" s="108">
        <v>0</v>
      </c>
      <c r="BP39" s="108">
        <v>4745680</v>
      </c>
      <c r="BQ39" s="108">
        <v>4745680</v>
      </c>
      <c r="BR39" s="108">
        <v>0</v>
      </c>
      <c r="BS39" s="108">
        <v>0</v>
      </c>
      <c r="BT39" s="108">
        <v>0</v>
      </c>
      <c r="BU39" s="108">
        <v>157090.13</v>
      </c>
      <c r="BV39" s="108">
        <v>0</v>
      </c>
      <c r="BW39" s="108">
        <v>931</v>
      </c>
      <c r="BX39" s="108">
        <v>931</v>
      </c>
      <c r="BY39" s="108">
        <v>120</v>
      </c>
      <c r="BZ39" s="108">
        <v>760473.2</v>
      </c>
      <c r="CA39" s="108">
        <v>477563.18</v>
      </c>
      <c r="CB39" s="108">
        <v>0</v>
      </c>
      <c r="CC39" s="108">
        <v>157090.13</v>
      </c>
      <c r="CD39" s="108">
        <v>278.92</v>
      </c>
      <c r="CE39" s="108">
        <v>0.05</v>
      </c>
      <c r="CF39" s="108">
        <v>84.82</v>
      </c>
      <c r="CG39" s="108">
        <v>6.61</v>
      </c>
      <c r="CH39" s="108">
        <v>5693299.8799999999</v>
      </c>
      <c r="CI39" s="108">
        <v>1708117.08</v>
      </c>
      <c r="CJ39" s="108">
        <v>947619.88</v>
      </c>
      <c r="CK39" s="108">
        <v>0</v>
      </c>
      <c r="CL39" s="108">
        <v>0</v>
      </c>
      <c r="CM39" s="108">
        <v>44546.32</v>
      </c>
      <c r="CN39" s="108">
        <v>10411.200000000001</v>
      </c>
      <c r="CO39" s="108">
        <v>1675.8</v>
      </c>
      <c r="CP39" s="108">
        <v>0</v>
      </c>
      <c r="CQ39" s="108">
        <v>5536209.75</v>
      </c>
      <c r="CR39" s="108">
        <v>-947619.88</v>
      </c>
      <c r="CS39" s="108">
        <v>0</v>
      </c>
      <c r="CT39" s="109">
        <v>0</v>
      </c>
      <c r="CU39" s="108">
        <v>29295.57</v>
      </c>
      <c r="CV39" s="108">
        <v>0</v>
      </c>
      <c r="CW39" s="108">
        <v>5877302</v>
      </c>
      <c r="CX39" s="108">
        <v>0</v>
      </c>
      <c r="CY39" s="108">
        <v>0</v>
      </c>
    </row>
    <row r="40" spans="1:103" ht="14.45" customHeight="1">
      <c r="A40" s="230"/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 t="s">
        <v>334</v>
      </c>
      <c r="P40" s="230"/>
      <c r="Q40" s="230" t="s">
        <v>225</v>
      </c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108">
        <v>13</v>
      </c>
      <c r="BK40" s="108">
        <v>31</v>
      </c>
      <c r="BL40" s="108">
        <v>312</v>
      </c>
      <c r="BM40" s="108">
        <v>144.80000000000001</v>
      </c>
      <c r="BN40" s="108">
        <v>1349410</v>
      </c>
      <c r="BO40" s="108">
        <v>0</v>
      </c>
      <c r="BP40" s="108">
        <v>7959977.7000000002</v>
      </c>
      <c r="BQ40" s="108">
        <v>7959977.7000000002</v>
      </c>
      <c r="BR40" s="108">
        <v>0</v>
      </c>
      <c r="BS40" s="108">
        <v>0</v>
      </c>
      <c r="BT40" s="108">
        <v>0</v>
      </c>
      <c r="BU40" s="108">
        <v>409398.15</v>
      </c>
      <c r="BV40" s="108">
        <v>28027.5</v>
      </c>
      <c r="BW40" s="108">
        <v>3268.3</v>
      </c>
      <c r="BX40" s="108">
        <v>3268.3</v>
      </c>
      <c r="BY40" s="108">
        <v>312</v>
      </c>
      <c r="BZ40" s="108">
        <v>1232875.72</v>
      </c>
      <c r="CA40" s="108">
        <v>889255.58</v>
      </c>
      <c r="CB40" s="108">
        <v>0</v>
      </c>
      <c r="CC40" s="108">
        <v>437425.65</v>
      </c>
      <c r="CD40" s="108">
        <v>497.08</v>
      </c>
      <c r="CE40" s="108">
        <v>0.19</v>
      </c>
      <c r="CF40" s="108">
        <v>171.3</v>
      </c>
      <c r="CG40" s="108">
        <v>11.6</v>
      </c>
      <c r="CH40" s="108">
        <v>11061196.619999999</v>
      </c>
      <c r="CI40" s="108">
        <v>4334142.6399999997</v>
      </c>
      <c r="CJ40" s="108">
        <v>3101218.92</v>
      </c>
      <c r="CK40" s="108">
        <v>0</v>
      </c>
      <c r="CL40" s="108">
        <v>0</v>
      </c>
      <c r="CM40" s="108">
        <v>284282.8</v>
      </c>
      <c r="CN40" s="108">
        <v>32227.200000000001</v>
      </c>
      <c r="CO40" s="108">
        <v>5882.94</v>
      </c>
      <c r="CP40" s="108">
        <v>0</v>
      </c>
      <c r="CQ40" s="108">
        <v>10623770.970000001</v>
      </c>
      <c r="CR40" s="108">
        <v>-3101218.92</v>
      </c>
      <c r="CS40" s="108">
        <v>0</v>
      </c>
      <c r="CT40" s="109">
        <v>0</v>
      </c>
      <c r="CU40" s="108">
        <v>98725.15</v>
      </c>
      <c r="CV40" s="108">
        <v>0</v>
      </c>
      <c r="CW40" s="108">
        <v>8679466</v>
      </c>
      <c r="CX40" s="108">
        <v>0</v>
      </c>
      <c r="CY40" s="108">
        <v>0</v>
      </c>
    </row>
    <row r="41" spans="1:103" ht="14.45" customHeight="1">
      <c r="A41" s="230"/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 t="s">
        <v>125</v>
      </c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  <c r="BI41" s="230"/>
      <c r="BJ41" s="108">
        <v>471</v>
      </c>
      <c r="BK41" s="108">
        <v>1023</v>
      </c>
      <c r="BL41" s="108">
        <v>13128</v>
      </c>
      <c r="BM41" s="108">
        <v>3289.36</v>
      </c>
      <c r="BN41" s="108">
        <v>22381241</v>
      </c>
      <c r="BO41" s="108">
        <v>169071</v>
      </c>
      <c r="BP41" s="108">
        <v>290222984.39999998</v>
      </c>
      <c r="BQ41" s="108">
        <v>290222984.39999998</v>
      </c>
      <c r="BR41" s="108">
        <v>1521639</v>
      </c>
      <c r="BS41" s="108">
        <v>0</v>
      </c>
      <c r="BT41" s="108">
        <v>0</v>
      </c>
      <c r="BU41" s="108">
        <v>11483539.970000001</v>
      </c>
      <c r="BV41" s="108">
        <v>1432644.6</v>
      </c>
      <c r="BW41" s="108">
        <v>99938.7</v>
      </c>
      <c r="BX41" s="108">
        <v>99938.7</v>
      </c>
      <c r="BY41" s="108">
        <v>13128</v>
      </c>
      <c r="BZ41" s="108">
        <v>40033956.899999999</v>
      </c>
      <c r="CA41" s="108">
        <v>25689605.600000001</v>
      </c>
      <c r="CB41" s="108">
        <v>0</v>
      </c>
      <c r="CC41" s="108">
        <v>12852827.75</v>
      </c>
      <c r="CD41" s="108">
        <v>9743.48</v>
      </c>
      <c r="CE41" s="108">
        <v>4.28</v>
      </c>
      <c r="CF41" s="108">
        <v>3194.66</v>
      </c>
      <c r="CG41" s="108">
        <v>228.34</v>
      </c>
      <c r="CH41" s="108">
        <v>361224005.48000002</v>
      </c>
      <c r="CI41" s="108">
        <v>109232523.01000001</v>
      </c>
      <c r="CJ41" s="108">
        <v>69479382.079999998</v>
      </c>
      <c r="CK41" s="108">
        <v>0</v>
      </c>
      <c r="CL41" s="108">
        <v>0</v>
      </c>
      <c r="CM41" s="108">
        <v>15696177.84</v>
      </c>
      <c r="CN41" s="108">
        <v>795772.8</v>
      </c>
      <c r="CO41" s="108">
        <v>178309.26</v>
      </c>
      <c r="CP41" s="108">
        <v>0</v>
      </c>
      <c r="CQ41" s="108">
        <v>348371177.73000002</v>
      </c>
      <c r="CR41" s="108">
        <v>-71001021.079999998</v>
      </c>
      <c r="CS41" s="108">
        <v>0</v>
      </c>
      <c r="CT41" s="109">
        <v>0</v>
      </c>
      <c r="CU41" s="108">
        <v>2061064.1</v>
      </c>
      <c r="CV41" s="108">
        <v>0</v>
      </c>
      <c r="CW41" s="108">
        <v>321417156</v>
      </c>
      <c r="CX41" s="108">
        <v>0</v>
      </c>
      <c r="CY41" s="108">
        <v>0</v>
      </c>
    </row>
    <row r="42" spans="1:103" ht="14.45" customHeight="1">
      <c r="A42" s="230"/>
      <c r="B42" s="230"/>
      <c r="C42" s="230"/>
      <c r="D42" s="230"/>
      <c r="E42" s="230"/>
      <c r="F42" s="230"/>
      <c r="G42" s="230"/>
      <c r="H42" s="230"/>
      <c r="I42" s="230"/>
      <c r="J42" s="230" t="s">
        <v>376</v>
      </c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108">
        <v>471</v>
      </c>
      <c r="BK42" s="108">
        <v>1023</v>
      </c>
      <c r="BL42" s="108">
        <v>13128</v>
      </c>
      <c r="BM42" s="108">
        <v>3289.36</v>
      </c>
      <c r="BN42" s="108">
        <v>22381241</v>
      </c>
      <c r="BO42" s="108">
        <v>169071</v>
      </c>
      <c r="BP42" s="108">
        <v>290222984.39999998</v>
      </c>
      <c r="BQ42" s="108">
        <v>290222984.39999998</v>
      </c>
      <c r="BR42" s="108">
        <v>1521639</v>
      </c>
      <c r="BS42" s="108">
        <v>0</v>
      </c>
      <c r="BT42" s="108">
        <v>0</v>
      </c>
      <c r="BU42" s="108">
        <v>11483539.970000001</v>
      </c>
      <c r="BV42" s="108">
        <v>1432644.6</v>
      </c>
      <c r="BW42" s="108">
        <v>99938.7</v>
      </c>
      <c r="BX42" s="108">
        <v>99938.7</v>
      </c>
      <c r="BY42" s="108">
        <v>13128</v>
      </c>
      <c r="BZ42" s="108">
        <v>40033956.899999999</v>
      </c>
      <c r="CA42" s="108">
        <v>25689605.600000001</v>
      </c>
      <c r="CB42" s="108">
        <v>0</v>
      </c>
      <c r="CC42" s="108">
        <v>12852827.75</v>
      </c>
      <c r="CD42" s="108">
        <v>9743.48</v>
      </c>
      <c r="CE42" s="108">
        <v>4.28</v>
      </c>
      <c r="CF42" s="108">
        <v>3194.66</v>
      </c>
      <c r="CG42" s="108">
        <v>228.34</v>
      </c>
      <c r="CH42" s="108">
        <v>361224005.48000002</v>
      </c>
      <c r="CI42" s="108">
        <v>109232523.01000001</v>
      </c>
      <c r="CJ42" s="108">
        <v>69479382.079999998</v>
      </c>
      <c r="CK42" s="108">
        <v>0</v>
      </c>
      <c r="CL42" s="108">
        <v>0</v>
      </c>
      <c r="CM42" s="108">
        <v>15696177.84</v>
      </c>
      <c r="CN42" s="108">
        <v>795772.8</v>
      </c>
      <c r="CO42" s="108">
        <v>178309.26</v>
      </c>
      <c r="CP42" s="108">
        <v>0</v>
      </c>
      <c r="CQ42" s="108">
        <v>348371177.73000002</v>
      </c>
      <c r="CR42" s="108">
        <v>-71001021.079999998</v>
      </c>
      <c r="CS42" s="108">
        <v>0</v>
      </c>
      <c r="CT42" s="109">
        <v>0</v>
      </c>
      <c r="CU42" s="108">
        <v>2061064.1</v>
      </c>
      <c r="CV42" s="108">
        <v>0</v>
      </c>
      <c r="CW42" s="108">
        <v>321417156</v>
      </c>
      <c r="CX42" s="108">
        <v>0</v>
      </c>
      <c r="CY42" s="108">
        <v>0</v>
      </c>
    </row>
    <row r="43" spans="1:103" ht="14.45" customHeight="1">
      <c r="A43" s="230"/>
      <c r="B43" s="230"/>
      <c r="C43" s="230"/>
      <c r="D43" s="230"/>
      <c r="E43" s="230"/>
      <c r="F43" s="230"/>
      <c r="G43" s="230"/>
      <c r="H43" s="230" t="s">
        <v>377</v>
      </c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108">
        <v>471</v>
      </c>
      <c r="BK43" s="108">
        <v>1023</v>
      </c>
      <c r="BL43" s="108">
        <v>13128</v>
      </c>
      <c r="BM43" s="108">
        <v>3289.36</v>
      </c>
      <c r="BN43" s="108">
        <v>22381241</v>
      </c>
      <c r="BO43" s="108">
        <v>169071</v>
      </c>
      <c r="BP43" s="108">
        <v>290222984.39999998</v>
      </c>
      <c r="BQ43" s="108">
        <v>290222984.39999998</v>
      </c>
      <c r="BR43" s="108">
        <v>1521639</v>
      </c>
      <c r="BS43" s="108">
        <v>0</v>
      </c>
      <c r="BT43" s="108">
        <v>0</v>
      </c>
      <c r="BU43" s="108">
        <v>11483539.970000001</v>
      </c>
      <c r="BV43" s="108">
        <v>1432644.6</v>
      </c>
      <c r="BW43" s="108">
        <v>99938.7</v>
      </c>
      <c r="BX43" s="108">
        <v>99938.7</v>
      </c>
      <c r="BY43" s="108">
        <v>13128</v>
      </c>
      <c r="BZ43" s="108">
        <v>40033956.899999999</v>
      </c>
      <c r="CA43" s="108">
        <v>25689605.600000001</v>
      </c>
      <c r="CB43" s="108">
        <v>0</v>
      </c>
      <c r="CC43" s="108">
        <v>12852827.75</v>
      </c>
      <c r="CD43" s="108">
        <v>9743.48</v>
      </c>
      <c r="CE43" s="108">
        <v>4.28</v>
      </c>
      <c r="CF43" s="108">
        <v>3194.66</v>
      </c>
      <c r="CG43" s="108">
        <v>228.34</v>
      </c>
      <c r="CH43" s="108">
        <v>361224005.48000002</v>
      </c>
      <c r="CI43" s="108">
        <v>109232523.01000001</v>
      </c>
      <c r="CJ43" s="108">
        <v>69479382.079999998</v>
      </c>
      <c r="CK43" s="108">
        <v>0</v>
      </c>
      <c r="CL43" s="108">
        <v>0</v>
      </c>
      <c r="CM43" s="108">
        <v>15696177.84</v>
      </c>
      <c r="CN43" s="108">
        <v>795772.8</v>
      </c>
      <c r="CO43" s="108">
        <v>178309.26</v>
      </c>
      <c r="CP43" s="108">
        <v>0</v>
      </c>
      <c r="CQ43" s="108">
        <v>348371177.73000002</v>
      </c>
      <c r="CR43" s="108">
        <v>-71001021.079999998</v>
      </c>
      <c r="CS43" s="108">
        <v>0</v>
      </c>
      <c r="CT43" s="109">
        <v>0</v>
      </c>
      <c r="CU43" s="108">
        <v>2061064.1</v>
      </c>
      <c r="CV43" s="108">
        <v>0</v>
      </c>
      <c r="CW43" s="108">
        <v>321417156</v>
      </c>
      <c r="CX43" s="108">
        <v>0</v>
      </c>
      <c r="CY43" s="108">
        <v>0</v>
      </c>
    </row>
    <row r="44" spans="1:103" ht="14.45" customHeight="1">
      <c r="A44" s="230"/>
      <c r="B44" s="230"/>
      <c r="C44" s="230"/>
      <c r="D44" s="230"/>
      <c r="E44" s="230"/>
      <c r="F44" s="230" t="s">
        <v>378</v>
      </c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108">
        <v>471</v>
      </c>
      <c r="BK44" s="108">
        <v>1023</v>
      </c>
      <c r="BL44" s="108">
        <v>13128</v>
      </c>
      <c r="BM44" s="108">
        <v>3289.36</v>
      </c>
      <c r="BN44" s="108">
        <v>22381241</v>
      </c>
      <c r="BO44" s="108">
        <v>169071</v>
      </c>
      <c r="BP44" s="108">
        <v>290222984.39999998</v>
      </c>
      <c r="BQ44" s="108">
        <v>290222984.39999998</v>
      </c>
      <c r="BR44" s="108">
        <v>1521639</v>
      </c>
      <c r="BS44" s="108">
        <v>0</v>
      </c>
      <c r="BT44" s="108">
        <v>0</v>
      </c>
      <c r="BU44" s="108">
        <v>11483539.970000001</v>
      </c>
      <c r="BV44" s="108">
        <v>1432644.6</v>
      </c>
      <c r="BW44" s="108">
        <v>99938.7</v>
      </c>
      <c r="BX44" s="108">
        <v>99938.7</v>
      </c>
      <c r="BY44" s="108">
        <v>13128</v>
      </c>
      <c r="BZ44" s="108">
        <v>40033956.899999999</v>
      </c>
      <c r="CA44" s="108">
        <v>25689605.600000001</v>
      </c>
      <c r="CB44" s="108">
        <v>0</v>
      </c>
      <c r="CC44" s="108">
        <v>12852827.75</v>
      </c>
      <c r="CD44" s="108">
        <v>9743.48</v>
      </c>
      <c r="CE44" s="108">
        <v>4.28</v>
      </c>
      <c r="CF44" s="108">
        <v>3194.66</v>
      </c>
      <c r="CG44" s="108">
        <v>228.34</v>
      </c>
      <c r="CH44" s="108">
        <v>361224005.48000002</v>
      </c>
      <c r="CI44" s="108">
        <v>109232523.01000001</v>
      </c>
      <c r="CJ44" s="108">
        <v>69479382.079999998</v>
      </c>
      <c r="CK44" s="108">
        <v>0</v>
      </c>
      <c r="CL44" s="108">
        <v>0</v>
      </c>
      <c r="CM44" s="108">
        <v>15696177.84</v>
      </c>
      <c r="CN44" s="108">
        <v>795772.8</v>
      </c>
      <c r="CO44" s="108">
        <v>178309.26</v>
      </c>
      <c r="CP44" s="108">
        <v>0</v>
      </c>
      <c r="CQ44" s="108">
        <v>348371177.73000002</v>
      </c>
      <c r="CR44" s="108">
        <v>-71001021.079999998</v>
      </c>
      <c r="CS44" s="108">
        <v>0</v>
      </c>
      <c r="CT44" s="109">
        <v>0</v>
      </c>
      <c r="CU44" s="108">
        <v>2061064.1</v>
      </c>
      <c r="CV44" s="108">
        <v>0</v>
      </c>
      <c r="CW44" s="108">
        <v>321417156</v>
      </c>
      <c r="CX44" s="108">
        <v>0</v>
      </c>
      <c r="CY44" s="108">
        <v>0</v>
      </c>
    </row>
    <row r="45" spans="1:103" ht="14.45" customHeight="1">
      <c r="A45" s="230"/>
      <c r="B45" s="230"/>
      <c r="C45" s="230" t="s">
        <v>379</v>
      </c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108">
        <v>471</v>
      </c>
      <c r="BK45" s="108">
        <v>1023</v>
      </c>
      <c r="BL45" s="108">
        <v>13128</v>
      </c>
      <c r="BM45" s="108">
        <v>3289.36</v>
      </c>
      <c r="BN45" s="108">
        <v>22381241</v>
      </c>
      <c r="BO45" s="108">
        <v>169071</v>
      </c>
      <c r="BP45" s="108">
        <v>290222984.39999998</v>
      </c>
      <c r="BQ45" s="108">
        <v>290222984.39999998</v>
      </c>
      <c r="BR45" s="108">
        <v>1521639</v>
      </c>
      <c r="BS45" s="108">
        <v>0</v>
      </c>
      <c r="BT45" s="108">
        <v>0</v>
      </c>
      <c r="BU45" s="108">
        <v>11483539.970000001</v>
      </c>
      <c r="BV45" s="108">
        <v>1432644.6</v>
      </c>
      <c r="BW45" s="108">
        <v>99938.7</v>
      </c>
      <c r="BX45" s="108">
        <v>99938.7</v>
      </c>
      <c r="BY45" s="108">
        <v>13128</v>
      </c>
      <c r="BZ45" s="108">
        <v>40033956.899999999</v>
      </c>
      <c r="CA45" s="108">
        <v>25689605.600000001</v>
      </c>
      <c r="CB45" s="108">
        <v>0</v>
      </c>
      <c r="CC45" s="108">
        <v>12852827.75</v>
      </c>
      <c r="CD45" s="108">
        <v>9743.48</v>
      </c>
      <c r="CE45" s="108">
        <v>4.28</v>
      </c>
      <c r="CF45" s="108">
        <v>3194.66</v>
      </c>
      <c r="CG45" s="108">
        <v>228.34</v>
      </c>
      <c r="CH45" s="108">
        <v>361224005.48000002</v>
      </c>
      <c r="CI45" s="108">
        <v>109232523.01000001</v>
      </c>
      <c r="CJ45" s="108">
        <v>69479382.079999998</v>
      </c>
      <c r="CK45" s="108">
        <v>0</v>
      </c>
      <c r="CL45" s="108">
        <v>0</v>
      </c>
      <c r="CM45" s="108">
        <v>15696177.84</v>
      </c>
      <c r="CN45" s="108">
        <v>795772.8</v>
      </c>
      <c r="CO45" s="108">
        <v>178309.26</v>
      </c>
      <c r="CP45" s="108">
        <v>0</v>
      </c>
      <c r="CQ45" s="108">
        <v>348371177.73000002</v>
      </c>
      <c r="CR45" s="108">
        <v>-71001021.079999998</v>
      </c>
      <c r="CS45" s="108">
        <v>0</v>
      </c>
      <c r="CT45" s="109">
        <v>0</v>
      </c>
      <c r="CU45" s="108">
        <v>2061064.1</v>
      </c>
      <c r="CV45" s="108">
        <v>0</v>
      </c>
      <c r="CW45" s="108">
        <v>321417156</v>
      </c>
      <c r="CX45" s="108">
        <v>0</v>
      </c>
      <c r="CY45" s="108">
        <v>0</v>
      </c>
    </row>
    <row r="46" spans="1:103" ht="14.45" customHeight="1">
      <c r="A46" s="230" t="s">
        <v>380</v>
      </c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108">
        <v>471</v>
      </c>
      <c r="BK46" s="108">
        <v>1023</v>
      </c>
      <c r="BL46" s="108">
        <v>13128</v>
      </c>
      <c r="BM46" s="108">
        <v>3289.36</v>
      </c>
      <c r="BN46" s="108">
        <v>22381241</v>
      </c>
      <c r="BO46" s="108">
        <v>169071</v>
      </c>
      <c r="BP46" s="108">
        <v>290222984.39999998</v>
      </c>
      <c r="BQ46" s="108">
        <v>290222984.39999998</v>
      </c>
      <c r="BR46" s="108">
        <v>1521639</v>
      </c>
      <c r="BS46" s="108">
        <v>0</v>
      </c>
      <c r="BT46" s="108">
        <v>0</v>
      </c>
      <c r="BU46" s="108">
        <v>11483539.970000001</v>
      </c>
      <c r="BV46" s="108">
        <v>1432644.6</v>
      </c>
      <c r="BW46" s="108">
        <v>99938.7</v>
      </c>
      <c r="BX46" s="108">
        <v>99938.7</v>
      </c>
      <c r="BY46" s="108">
        <v>13128</v>
      </c>
      <c r="BZ46" s="108">
        <v>40033956.899999999</v>
      </c>
      <c r="CA46" s="108">
        <v>25689605.600000001</v>
      </c>
      <c r="CB46" s="108">
        <v>0</v>
      </c>
      <c r="CC46" s="108">
        <v>12852827.75</v>
      </c>
      <c r="CD46" s="108">
        <v>9743.48</v>
      </c>
      <c r="CE46" s="108">
        <v>4.28</v>
      </c>
      <c r="CF46" s="108">
        <v>3194.66</v>
      </c>
      <c r="CG46" s="108">
        <v>228.34</v>
      </c>
      <c r="CH46" s="108">
        <v>361224005.48000002</v>
      </c>
      <c r="CI46" s="108">
        <v>109232523.01000001</v>
      </c>
      <c r="CJ46" s="108">
        <v>69479382.079999998</v>
      </c>
      <c r="CK46" s="108">
        <v>0</v>
      </c>
      <c r="CL46" s="108">
        <v>0</v>
      </c>
      <c r="CM46" s="108">
        <v>15696177.84</v>
      </c>
      <c r="CN46" s="108">
        <v>795772.8</v>
      </c>
      <c r="CO46" s="108">
        <v>178309.26</v>
      </c>
      <c r="CP46" s="108">
        <v>0</v>
      </c>
      <c r="CQ46" s="108">
        <v>348371177.73000002</v>
      </c>
      <c r="CR46" s="108">
        <v>-71001021.079999998</v>
      </c>
      <c r="CS46" s="108">
        <v>0</v>
      </c>
      <c r="CT46" s="109">
        <v>0</v>
      </c>
      <c r="CU46" s="108">
        <v>2061064.1</v>
      </c>
      <c r="CV46" s="108">
        <v>0</v>
      </c>
      <c r="CW46" s="108">
        <v>321417156</v>
      </c>
      <c r="CX46" s="108">
        <v>0</v>
      </c>
      <c r="CY46" s="108">
        <v>0</v>
      </c>
    </row>
    <row r="47" spans="1:103" ht="14.45" customHeight="1">
      <c r="A47" s="230" t="s">
        <v>79</v>
      </c>
      <c r="B47" s="230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108">
        <v>471</v>
      </c>
      <c r="BK47" s="108">
        <v>1023</v>
      </c>
      <c r="BL47" s="108">
        <v>13128</v>
      </c>
      <c r="BM47" s="108">
        <v>3289.36</v>
      </c>
      <c r="BN47" s="108">
        <v>22381241</v>
      </c>
      <c r="BO47" s="108">
        <v>169071</v>
      </c>
      <c r="BP47" s="108">
        <v>290222984.39999998</v>
      </c>
      <c r="BQ47" s="108">
        <v>290222984.39999998</v>
      </c>
      <c r="BR47" s="108">
        <v>1521639</v>
      </c>
      <c r="BS47" s="108">
        <v>0</v>
      </c>
      <c r="BT47" s="108">
        <v>0</v>
      </c>
      <c r="BU47" s="108">
        <v>11483539.970000001</v>
      </c>
      <c r="BV47" s="108">
        <v>1432644.6</v>
      </c>
      <c r="BW47" s="108">
        <v>99938.7</v>
      </c>
      <c r="BX47" s="108">
        <v>99938.7</v>
      </c>
      <c r="BY47" s="108">
        <v>13128</v>
      </c>
      <c r="BZ47" s="108">
        <v>40033956.899999999</v>
      </c>
      <c r="CA47" s="108">
        <v>25689605.600000001</v>
      </c>
      <c r="CB47" s="108">
        <v>0</v>
      </c>
      <c r="CC47" s="108">
        <v>12852827.75</v>
      </c>
      <c r="CD47" s="108">
        <v>9743.48</v>
      </c>
      <c r="CE47" s="108">
        <v>4.28</v>
      </c>
      <c r="CF47" s="108">
        <v>3194.66</v>
      </c>
      <c r="CG47" s="108">
        <v>228.34</v>
      </c>
      <c r="CH47" s="108">
        <v>361224005.48000002</v>
      </c>
      <c r="CI47" s="108">
        <v>109232523.01000001</v>
      </c>
      <c r="CJ47" s="108">
        <f>69479382.08</f>
        <v>69479382.079999998</v>
      </c>
      <c r="CK47" s="108">
        <v>0</v>
      </c>
      <c r="CL47" s="108">
        <v>0</v>
      </c>
      <c r="CM47" s="108">
        <v>15696177.84</v>
      </c>
      <c r="CN47" s="108">
        <v>795772.8</v>
      </c>
      <c r="CO47" s="108">
        <v>178309.26</v>
      </c>
      <c r="CP47" s="108">
        <v>0</v>
      </c>
      <c r="CQ47" s="108">
        <v>348371177.73000002</v>
      </c>
      <c r="CR47" s="108">
        <v>-71001021.079999998</v>
      </c>
      <c r="CS47" s="108">
        <v>0</v>
      </c>
      <c r="CT47" s="109">
        <v>0</v>
      </c>
      <c r="CU47" s="108">
        <v>2061064.1</v>
      </c>
      <c r="CV47" s="108">
        <v>0</v>
      </c>
      <c r="CW47" s="108">
        <v>321417156</v>
      </c>
      <c r="CX47" s="108">
        <v>0</v>
      </c>
      <c r="CY47" s="108">
        <v>0</v>
      </c>
    </row>
    <row r="48" spans="1:103">
      <c r="BQ48" s="110">
        <f>BR47</f>
        <v>1521639</v>
      </c>
      <c r="CA48" s="110">
        <f>CN47+CO47+BV47+BU47</f>
        <v>13890266.630000001</v>
      </c>
      <c r="CC48" s="110">
        <f>CH47-CQ47</f>
        <v>12852827.75</v>
      </c>
      <c r="CD48" s="110">
        <f>BU47</f>
        <v>11483539.970000001</v>
      </c>
      <c r="CI48" s="110">
        <f>CI47-CJ47</f>
        <v>39753140.930000007</v>
      </c>
      <c r="CJ48" s="110">
        <f>BZ47+CA47+CU47+BV47+CO47</f>
        <v>69395580.459999993</v>
      </c>
      <c r="CW48" s="110">
        <f>CW47-BQ47</f>
        <v>31194171.600000024</v>
      </c>
    </row>
    <row r="49" spans="69:79">
      <c r="BQ49" s="110">
        <f>CJ47</f>
        <v>69479382.079999998</v>
      </c>
    </row>
    <row r="50" spans="69:79">
      <c r="BQ50" s="110">
        <f>SUM(BQ47:BQ49)</f>
        <v>361224005.47999996</v>
      </c>
    </row>
    <row r="52" spans="69:79">
      <c r="CA52" s="110">
        <f>CA47-CC47</f>
        <v>12836777.850000001</v>
      </c>
    </row>
  </sheetData>
  <mergeCells count="126">
    <mergeCell ref="A1:BC1"/>
    <mergeCell ref="A2:V2"/>
    <mergeCell ref="A3:V3"/>
    <mergeCell ref="A4:V4"/>
    <mergeCell ref="A5:V5"/>
    <mergeCell ref="B6:C6"/>
    <mergeCell ref="E6:F6"/>
    <mergeCell ref="I6:J6"/>
    <mergeCell ref="L6:M6"/>
    <mergeCell ref="P6:Q6"/>
    <mergeCell ref="AN6:AO6"/>
    <mergeCell ref="AR6:AS6"/>
    <mergeCell ref="AU6:AV6"/>
    <mergeCell ref="AY6:AZ6"/>
    <mergeCell ref="BB6:BD6"/>
    <mergeCell ref="BG6:BH6"/>
    <mergeCell ref="S6:T6"/>
    <mergeCell ref="W6:X6"/>
    <mergeCell ref="Z6:AA6"/>
    <mergeCell ref="AD6:AE6"/>
    <mergeCell ref="AG6:AH6"/>
    <mergeCell ref="AK6:AL6"/>
    <mergeCell ref="BJ7:CY7"/>
    <mergeCell ref="A8:B8"/>
    <mergeCell ref="C8:E8"/>
    <mergeCell ref="F8:G8"/>
    <mergeCell ref="H8:I8"/>
    <mergeCell ref="J8:L8"/>
    <mergeCell ref="M8:N8"/>
    <mergeCell ref="O8:P8"/>
    <mergeCell ref="Q8:S8"/>
    <mergeCell ref="T8:U8"/>
    <mergeCell ref="AX8:AY8"/>
    <mergeCell ref="AZ8:BB8"/>
    <mergeCell ref="BC8:BE8"/>
    <mergeCell ref="BF8:BG8"/>
    <mergeCell ref="BH8:BI8"/>
    <mergeCell ref="AS8:AU8"/>
    <mergeCell ref="AV8:AW8"/>
    <mergeCell ref="A9:B45"/>
    <mergeCell ref="C9:E44"/>
    <mergeCell ref="F9:G43"/>
    <mergeCell ref="H9:I42"/>
    <mergeCell ref="J9:L41"/>
    <mergeCell ref="AJ8:AK8"/>
    <mergeCell ref="AL8:AN8"/>
    <mergeCell ref="AO8:AP8"/>
    <mergeCell ref="AQ8:AR8"/>
    <mergeCell ref="V8:W8"/>
    <mergeCell ref="X8:Z8"/>
    <mergeCell ref="AA8:AB8"/>
    <mergeCell ref="AC8:AD8"/>
    <mergeCell ref="AE8:AG8"/>
    <mergeCell ref="AH8:AI8"/>
    <mergeCell ref="O17:P17"/>
    <mergeCell ref="Q17:BI17"/>
    <mergeCell ref="O18:P18"/>
    <mergeCell ref="Q18:BI18"/>
    <mergeCell ref="O19:P19"/>
    <mergeCell ref="Q19:BI19"/>
    <mergeCell ref="Q13:BI13"/>
    <mergeCell ref="O14:P14"/>
    <mergeCell ref="Q14:BI14"/>
    <mergeCell ref="O15:P15"/>
    <mergeCell ref="Q15:BI15"/>
    <mergeCell ref="O16:P16"/>
    <mergeCell ref="Q16:BI16"/>
    <mergeCell ref="O13:P13"/>
    <mergeCell ref="O23:P23"/>
    <mergeCell ref="Q23:BI23"/>
    <mergeCell ref="O24:P24"/>
    <mergeCell ref="Q24:BI24"/>
    <mergeCell ref="O25:P25"/>
    <mergeCell ref="Q25:BI25"/>
    <mergeCell ref="O20:P20"/>
    <mergeCell ref="Q20:BI20"/>
    <mergeCell ref="O21:P21"/>
    <mergeCell ref="Q21:BI21"/>
    <mergeCell ref="O22:P22"/>
    <mergeCell ref="Q22:BI22"/>
    <mergeCell ref="O29:P29"/>
    <mergeCell ref="Q29:BI29"/>
    <mergeCell ref="O30:P30"/>
    <mergeCell ref="Q30:BI30"/>
    <mergeCell ref="O31:P31"/>
    <mergeCell ref="Q31:BI31"/>
    <mergeCell ref="O26:P26"/>
    <mergeCell ref="Q26:BI26"/>
    <mergeCell ref="O27:P27"/>
    <mergeCell ref="Q27:BI27"/>
    <mergeCell ref="O28:P28"/>
    <mergeCell ref="Q28:BI28"/>
    <mergeCell ref="O36:P36"/>
    <mergeCell ref="Q36:BI36"/>
    <mergeCell ref="O37:P37"/>
    <mergeCell ref="Q37:BI37"/>
    <mergeCell ref="O32:P32"/>
    <mergeCell ref="Q32:BI32"/>
    <mergeCell ref="O33:P33"/>
    <mergeCell ref="Q33:BI33"/>
    <mergeCell ref="O34:P34"/>
    <mergeCell ref="Q34:BI34"/>
    <mergeCell ref="A47:BI47"/>
    <mergeCell ref="M41:BI41"/>
    <mergeCell ref="J42:BI42"/>
    <mergeCell ref="H43:BI43"/>
    <mergeCell ref="F44:BI44"/>
    <mergeCell ref="C45:BI45"/>
    <mergeCell ref="A46:BI46"/>
    <mergeCell ref="O38:P38"/>
    <mergeCell ref="Q38:BI38"/>
    <mergeCell ref="O39:P39"/>
    <mergeCell ref="Q39:BI39"/>
    <mergeCell ref="O40:P40"/>
    <mergeCell ref="Q40:BI40"/>
    <mergeCell ref="M9:N40"/>
    <mergeCell ref="O9:P9"/>
    <mergeCell ref="Q9:BI9"/>
    <mergeCell ref="O10:P10"/>
    <mergeCell ref="Q10:BI10"/>
    <mergeCell ref="O11:P11"/>
    <mergeCell ref="Q11:BI11"/>
    <mergeCell ref="O12:P12"/>
    <mergeCell ref="Q12:BI12"/>
    <mergeCell ref="O35:P35"/>
    <mergeCell ref="Q35:BI35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C42"/>
  <sheetViews>
    <sheetView view="pageBreakPreview" zoomScaleSheetLayoutView="100" workbookViewId="0">
      <pane xSplit="3" ySplit="9" topLeftCell="DV10" activePane="bottomRight" state="frozen"/>
      <selection activeCell="N16" sqref="N16:O16"/>
      <selection pane="topRight" activeCell="N16" sqref="N16:O16"/>
      <selection pane="bottomLeft" activeCell="N16" sqref="N16:O16"/>
      <selection pane="bottomRight" activeCell="ED18" sqref="ED17:ED18"/>
    </sheetView>
  </sheetViews>
  <sheetFormatPr defaultColWidth="8.88671875" defaultRowHeight="15"/>
  <cols>
    <col min="1" max="1" width="4" style="1" customWidth="1"/>
    <col min="2" max="2" width="30.44140625" style="1" customWidth="1"/>
    <col min="3" max="3" width="11.21875" style="1" customWidth="1"/>
    <col min="4" max="4" width="4.88671875" style="1" customWidth="1"/>
    <col min="5" max="5" width="7.44140625" style="1" customWidth="1"/>
    <col min="6" max="6" width="6.77734375" style="1" customWidth="1"/>
    <col min="7" max="7" width="13.109375" style="1" customWidth="1"/>
    <col min="8" max="8" width="16.21875" style="1" customWidth="1"/>
    <col min="9" max="9" width="14" style="1" customWidth="1"/>
    <col min="10" max="10" width="13.88671875" style="1" customWidth="1"/>
    <col min="11" max="11" width="15.6640625" style="1" customWidth="1"/>
    <col min="12" max="12" width="16.44140625" style="1" customWidth="1"/>
    <col min="13" max="13" width="16.88671875" style="1" customWidth="1"/>
    <col min="14" max="14" width="14.109375" style="1" customWidth="1"/>
    <col min="15" max="15" width="12.44140625" style="1" customWidth="1"/>
    <col min="16" max="16" width="15.5546875" style="1" customWidth="1"/>
    <col min="17" max="17" width="12.77734375" style="1" customWidth="1"/>
    <col min="18" max="18" width="12.44140625" style="1" customWidth="1"/>
    <col min="19" max="19" width="10" style="1" customWidth="1"/>
    <col min="20" max="20" width="13.109375" style="1" customWidth="1"/>
    <col min="21" max="22" width="14.109375" style="1" customWidth="1"/>
    <col min="23" max="23" width="13.77734375" style="1" customWidth="1"/>
    <col min="24" max="24" width="16.88671875" style="1" customWidth="1"/>
    <col min="25" max="25" width="12.44140625" style="1" customWidth="1"/>
    <col min="26" max="26" width="13.44140625" style="1" customWidth="1"/>
    <col min="27" max="27" width="12.44140625" style="1" customWidth="1"/>
    <col min="28" max="28" width="18.5546875" style="1" customWidth="1"/>
    <col min="29" max="29" width="14.109375" style="1" customWidth="1"/>
    <col min="30" max="30" width="13.77734375" style="1" customWidth="1"/>
    <col min="31" max="31" width="15.21875" style="1" customWidth="1"/>
    <col min="32" max="32" width="30.44140625" style="1" customWidth="1"/>
    <col min="33" max="33" width="21.21875" style="1" customWidth="1"/>
    <col min="34" max="34" width="23.21875" style="1" customWidth="1"/>
    <col min="35" max="35" width="23.44140625" style="1" customWidth="1"/>
    <col min="36" max="37" width="12.44140625" style="1" customWidth="1"/>
    <col min="38" max="38" width="17.77734375" style="1" customWidth="1"/>
    <col min="39" max="42" width="12.44140625" style="1" customWidth="1"/>
    <col min="43" max="43" width="23.21875" style="1" customWidth="1"/>
    <col min="44" max="44" width="17.21875" style="1" customWidth="1"/>
    <col min="45" max="45" width="12.44140625" style="1" customWidth="1"/>
    <col min="46" max="46" width="16.6640625" style="1" customWidth="1"/>
    <col min="47" max="54" width="12.44140625" style="1" customWidth="1"/>
    <col min="55" max="55" width="13.44140625" style="1" customWidth="1"/>
    <col min="56" max="56" width="13.6640625" style="1" customWidth="1"/>
    <col min="57" max="66" width="12.44140625" style="1" customWidth="1"/>
    <col min="67" max="67" width="13.6640625" style="1" customWidth="1"/>
    <col min="68" max="68" width="12.44140625" style="1" customWidth="1"/>
    <col min="69" max="69" width="12.44140625" style="207" customWidth="1"/>
    <col min="70" max="72" width="12.44140625" style="1" customWidth="1"/>
    <col min="73" max="73" width="15" style="1" customWidth="1"/>
    <col min="74" max="74" width="12.77734375" style="1" customWidth="1"/>
    <col min="75" max="75" width="13.109375" style="1" customWidth="1"/>
    <col min="76" max="81" width="11.5546875" style="1" customWidth="1"/>
    <col min="82" max="82" width="11.5546875" style="207" customWidth="1"/>
    <col min="83" max="83" width="10.88671875" style="1" customWidth="1"/>
    <col min="84" max="84" width="12.88671875" style="1" customWidth="1"/>
    <col min="85" max="85" width="19.33203125" style="1" customWidth="1"/>
    <col min="86" max="86" width="24.5546875" style="1" customWidth="1"/>
    <col min="87" max="87" width="27" style="1" customWidth="1"/>
    <col min="88" max="88" width="13.44140625" style="1" customWidth="1"/>
    <col min="89" max="89" width="12.44140625" style="1" customWidth="1"/>
    <col min="90" max="90" width="20.109375" style="1" bestFit="1" customWidth="1"/>
    <col min="91" max="91" width="12.88671875" style="1" customWidth="1"/>
    <col min="92" max="92" width="13.6640625" style="1" customWidth="1"/>
    <col min="93" max="93" width="14.44140625" style="1" customWidth="1"/>
    <col min="94" max="95" width="14.33203125" style="1" customWidth="1"/>
    <col min="96" max="96" width="13.88671875" style="1" customWidth="1"/>
    <col min="97" max="100" width="13.77734375" style="1" customWidth="1"/>
    <col min="101" max="101" width="14.44140625" style="1" customWidth="1"/>
    <col min="102" max="104" width="12.44140625" style="1" customWidth="1"/>
    <col min="105" max="105" width="28.5546875" style="1" customWidth="1"/>
    <col min="106" max="106" width="13.6640625" style="1" customWidth="1"/>
    <col min="107" max="107" width="22.77734375" style="1" customWidth="1"/>
    <col min="108" max="108" width="3.33203125" style="1" customWidth="1"/>
    <col min="109" max="109" width="12.44140625" style="1" customWidth="1"/>
    <col min="110" max="110" width="11.44140625" style="1" customWidth="1"/>
    <col min="111" max="118" width="12.44140625" style="1" customWidth="1"/>
    <col min="119" max="119" width="23.6640625" style="1" customWidth="1"/>
    <col min="120" max="120" width="30.44140625" style="1" customWidth="1"/>
    <col min="121" max="131" width="8.88671875" style="1" customWidth="1"/>
    <col min="132" max="132" width="9.88671875" style="1" bestFit="1" customWidth="1"/>
    <col min="133" max="16384" width="8.88671875" style="1"/>
  </cols>
  <sheetData>
    <row r="2" spans="1:133" ht="18">
      <c r="B2" s="91" t="s">
        <v>534</v>
      </c>
      <c r="O2" s="10"/>
    </row>
    <row r="3" spans="1:133">
      <c r="H3" s="207"/>
      <c r="I3" s="207"/>
      <c r="J3" s="207"/>
      <c r="K3" s="207"/>
      <c r="O3" s="1" t="s">
        <v>365</v>
      </c>
      <c r="AE3" s="1">
        <v>69441818.079999983</v>
      </c>
      <c r="BO3" s="10">
        <f ca="1">AF8-BO8-BD8</f>
        <v>5.1222741603851318E-9</v>
      </c>
      <c r="CG3" s="10"/>
      <c r="CL3" s="10">
        <f ca="1">CL4-CL8</f>
        <v>93318818.340000004</v>
      </c>
      <c r="CM3" s="10" t="e">
        <f>#REF!</f>
        <v>#REF!</v>
      </c>
      <c r="CN3" s="10" t="e">
        <f ca="1">CM3-CO8</f>
        <v>#REF!</v>
      </c>
      <c r="CO3" s="95"/>
      <c r="DA3" s="10" t="e">
        <f ca="1">DA8-DA4</f>
        <v>#REF!</v>
      </c>
      <c r="DP3" s="10">
        <f ca="1">DP4-DP8</f>
        <v>0</v>
      </c>
    </row>
    <row r="4" spans="1:133" ht="15.75">
      <c r="B4" s="1" t="s">
        <v>360</v>
      </c>
      <c r="C4" s="94"/>
      <c r="D4" s="94"/>
      <c r="E4" s="94"/>
      <c r="F4" s="94"/>
      <c r="G4" s="94"/>
      <c r="H4" s="116" t="s">
        <v>436</v>
      </c>
      <c r="I4" s="94"/>
      <c r="J4" s="96"/>
      <c r="K4" s="96"/>
      <c r="L4" s="96"/>
      <c r="M4" s="94"/>
      <c r="N4" s="94"/>
      <c r="O4" s="11">
        <f ca="1">-(M8/1.04-M8)</f>
        <v>10318762.676923096</v>
      </c>
      <c r="P4" s="94"/>
      <c r="Q4" s="94"/>
      <c r="R4" s="94"/>
      <c r="S4" s="94"/>
      <c r="T4" s="94"/>
      <c r="U4" s="235" t="s">
        <v>338</v>
      </c>
      <c r="V4" s="235"/>
      <c r="W4" s="235"/>
      <c r="X4" s="94"/>
      <c r="Y4" s="94"/>
      <c r="Z4" s="94"/>
      <c r="AA4" s="94"/>
      <c r="AB4" s="235" t="s">
        <v>342</v>
      </c>
      <c r="AC4" s="235"/>
      <c r="AD4" s="235"/>
      <c r="AE4" s="96">
        <f ca="1">AE3-AE8</f>
        <v>-23877000.26000002</v>
      </c>
      <c r="AF4" s="94"/>
      <c r="AG4" s="117" t="s">
        <v>437</v>
      </c>
      <c r="AH4" s="117"/>
      <c r="AI4" s="118"/>
      <c r="AJ4" s="117"/>
      <c r="AK4" s="117"/>
      <c r="AL4" s="117"/>
      <c r="AM4" s="117"/>
      <c r="AN4" s="118"/>
      <c r="AO4" s="117"/>
      <c r="AP4" s="117"/>
      <c r="AQ4" s="118"/>
      <c r="AR4" s="94"/>
      <c r="AS4" s="119">
        <v>308</v>
      </c>
      <c r="AT4" s="119"/>
      <c r="AU4" s="120"/>
      <c r="AV4" s="119"/>
      <c r="AW4" s="119"/>
      <c r="AX4" s="119"/>
      <c r="AY4" s="119"/>
      <c r="AZ4" s="120"/>
      <c r="BA4" s="119"/>
      <c r="BB4" s="119"/>
      <c r="BC4" s="120"/>
      <c r="BD4" s="121"/>
      <c r="BE4" s="122">
        <v>304</v>
      </c>
      <c r="BF4" s="122"/>
      <c r="BG4" s="123"/>
      <c r="BH4" s="122"/>
      <c r="BI4" s="122"/>
      <c r="BJ4" s="122"/>
      <c r="BK4" s="122"/>
      <c r="BL4" s="123"/>
      <c r="BM4" s="122"/>
      <c r="BN4" s="122"/>
      <c r="BO4" s="123"/>
      <c r="BP4" s="94">
        <v>308</v>
      </c>
      <c r="BQ4" s="209">
        <v>308</v>
      </c>
      <c r="BR4" s="96">
        <f ca="1">BR8+CI8</f>
        <v>28112749.48</v>
      </c>
      <c r="BS4" s="94"/>
      <c r="BT4" s="94"/>
      <c r="BU4" s="94">
        <v>0</v>
      </c>
      <c r="BV4" s="94"/>
      <c r="BW4" s="94"/>
      <c r="BX4" s="1">
        <v>226004</v>
      </c>
      <c r="BY4" s="1">
        <v>225002</v>
      </c>
      <c r="BZ4" s="1">
        <v>221001</v>
      </c>
      <c r="CA4" s="1">
        <v>225023</v>
      </c>
      <c r="CB4" s="1">
        <v>226034</v>
      </c>
      <c r="CC4" s="1">
        <v>225001</v>
      </c>
      <c r="CE4" s="94"/>
      <c r="CF4" s="94"/>
      <c r="CG4" s="96">
        <f>SUM(CC8:CG8)</f>
        <v>8548975.1600000001</v>
      </c>
      <c r="CH4" s="94"/>
      <c r="CI4" s="94"/>
      <c r="CJ4" s="94"/>
      <c r="CK4" s="94"/>
      <c r="CL4" s="96">
        <f ca="1">AE8+BV4</f>
        <v>93318818.340000004</v>
      </c>
      <c r="CM4" s="235" t="s">
        <v>344</v>
      </c>
      <c r="CN4" s="235"/>
      <c r="CO4" s="235"/>
      <c r="CP4" s="235" t="s">
        <v>362</v>
      </c>
      <c r="CQ4" s="235"/>
      <c r="CR4" s="235"/>
      <c r="CS4" s="96"/>
      <c r="CT4" s="94"/>
      <c r="CU4" s="94"/>
      <c r="CV4" s="94"/>
      <c r="CW4" s="94"/>
      <c r="CX4" s="94">
        <v>304</v>
      </c>
      <c r="CY4" s="94"/>
      <c r="CZ4" s="94"/>
      <c r="DA4" s="96" t="e">
        <f>#REF!</f>
        <v>#REF!</v>
      </c>
      <c r="DB4" s="94"/>
      <c r="DC4" s="94"/>
      <c r="DD4" s="94"/>
      <c r="DE4" s="101" t="s">
        <v>357</v>
      </c>
      <c r="DF4" s="101"/>
      <c r="DG4" s="101"/>
      <c r="DH4" s="101"/>
      <c r="DI4" s="101"/>
      <c r="DJ4" s="97"/>
      <c r="DK4" s="97"/>
      <c r="DL4" s="97"/>
      <c r="DM4" s="97"/>
      <c r="DN4" s="97"/>
      <c r="DO4" s="97"/>
      <c r="DP4" s="211">
        <v>508976345.74000001</v>
      </c>
    </row>
    <row r="5" spans="1:133" ht="15" customHeight="1">
      <c r="A5" s="239" t="s">
        <v>0</v>
      </c>
      <c r="B5" s="242" t="s">
        <v>1</v>
      </c>
      <c r="C5" s="248" t="s">
        <v>304</v>
      </c>
      <c r="D5" s="236" t="s">
        <v>144</v>
      </c>
      <c r="E5" s="236" t="s">
        <v>139</v>
      </c>
      <c r="F5" s="236" t="s">
        <v>140</v>
      </c>
      <c r="G5" s="236" t="s">
        <v>405</v>
      </c>
      <c r="H5" s="245" t="s">
        <v>520</v>
      </c>
      <c r="I5" s="236" t="s">
        <v>336</v>
      </c>
      <c r="J5" s="236" t="s">
        <v>337</v>
      </c>
      <c r="K5" s="236" t="s">
        <v>352</v>
      </c>
      <c r="L5" s="237" t="s">
        <v>126</v>
      </c>
      <c r="M5" s="237" t="s">
        <v>462</v>
      </c>
      <c r="N5" s="236" t="s">
        <v>128</v>
      </c>
      <c r="O5" s="236" t="s">
        <v>129</v>
      </c>
      <c r="P5" s="236" t="s">
        <v>130</v>
      </c>
      <c r="Q5" s="237" t="s">
        <v>131</v>
      </c>
      <c r="R5" s="236" t="s">
        <v>128</v>
      </c>
      <c r="S5" s="236" t="s">
        <v>132</v>
      </c>
      <c r="T5" s="236" t="s">
        <v>78</v>
      </c>
      <c r="U5" s="236" t="s">
        <v>128</v>
      </c>
      <c r="V5" s="236" t="s">
        <v>132</v>
      </c>
      <c r="W5" s="236" t="s">
        <v>154</v>
      </c>
      <c r="X5" s="237" t="s">
        <v>335</v>
      </c>
      <c r="Y5" s="236" t="s">
        <v>339</v>
      </c>
      <c r="Z5" s="236" t="s">
        <v>340</v>
      </c>
      <c r="AA5" s="236" t="s">
        <v>341</v>
      </c>
      <c r="AB5" s="236" t="s">
        <v>128</v>
      </c>
      <c r="AC5" s="236" t="s">
        <v>132</v>
      </c>
      <c r="AD5" s="236" t="s">
        <v>154</v>
      </c>
      <c r="AE5" s="236" t="s">
        <v>343</v>
      </c>
      <c r="AF5" s="237" t="s">
        <v>435</v>
      </c>
      <c r="AG5" s="236" t="s">
        <v>134</v>
      </c>
      <c r="AH5" s="236" t="s">
        <v>133</v>
      </c>
      <c r="AI5" s="236" t="s">
        <v>135</v>
      </c>
      <c r="AJ5" s="236" t="s">
        <v>136</v>
      </c>
      <c r="AK5" s="236" t="s">
        <v>137</v>
      </c>
      <c r="AL5" s="250" t="s">
        <v>134</v>
      </c>
      <c r="AM5" s="250" t="s">
        <v>133</v>
      </c>
      <c r="AN5" s="250" t="s">
        <v>135</v>
      </c>
      <c r="AO5" s="250" t="s">
        <v>136</v>
      </c>
      <c r="AP5" s="250" t="s">
        <v>137</v>
      </c>
      <c r="AQ5" s="236" t="s">
        <v>138</v>
      </c>
      <c r="AR5" s="236" t="s">
        <v>404</v>
      </c>
      <c r="AS5" s="236" t="s">
        <v>134</v>
      </c>
      <c r="AT5" s="236" t="s">
        <v>133</v>
      </c>
      <c r="AU5" s="236" t="s">
        <v>135</v>
      </c>
      <c r="AV5" s="236" t="s">
        <v>136</v>
      </c>
      <c r="AW5" s="236" t="s">
        <v>137</v>
      </c>
      <c r="AX5" s="250" t="s">
        <v>134</v>
      </c>
      <c r="AY5" s="250" t="s">
        <v>133</v>
      </c>
      <c r="AZ5" s="250" t="s">
        <v>135</v>
      </c>
      <c r="BA5" s="250" t="s">
        <v>136</v>
      </c>
      <c r="BB5" s="250" t="s">
        <v>137</v>
      </c>
      <c r="BC5" s="236" t="s">
        <v>138</v>
      </c>
      <c r="BD5" s="249"/>
      <c r="BE5" s="236" t="s">
        <v>134</v>
      </c>
      <c r="BF5" s="236" t="s">
        <v>133</v>
      </c>
      <c r="BG5" s="236" t="s">
        <v>135</v>
      </c>
      <c r="BH5" s="236" t="s">
        <v>136</v>
      </c>
      <c r="BI5" s="236" t="s">
        <v>137</v>
      </c>
      <c r="BJ5" s="250" t="s">
        <v>134</v>
      </c>
      <c r="BK5" s="250" t="s">
        <v>133</v>
      </c>
      <c r="BL5" s="250" t="s">
        <v>135</v>
      </c>
      <c r="BM5" s="250" t="s">
        <v>136</v>
      </c>
      <c r="BN5" s="250" t="s">
        <v>137</v>
      </c>
      <c r="BO5" s="236" t="s">
        <v>138</v>
      </c>
      <c r="BP5" s="239" t="s">
        <v>361</v>
      </c>
      <c r="BQ5" s="239" t="s">
        <v>709</v>
      </c>
      <c r="BR5" s="238" t="s">
        <v>155</v>
      </c>
      <c r="BS5" s="238" t="s">
        <v>156</v>
      </c>
      <c r="BT5" s="238" t="s">
        <v>148</v>
      </c>
      <c r="BU5" s="236" t="s">
        <v>149</v>
      </c>
      <c r="BV5" s="236" t="s">
        <v>159</v>
      </c>
      <c r="BW5" s="236" t="s">
        <v>157</v>
      </c>
      <c r="BX5" s="239" t="s">
        <v>464</v>
      </c>
      <c r="BY5" s="239" t="s">
        <v>465</v>
      </c>
      <c r="BZ5" s="239" t="s">
        <v>466</v>
      </c>
      <c r="CA5" s="239" t="s">
        <v>293</v>
      </c>
      <c r="CB5" s="239" t="s">
        <v>467</v>
      </c>
      <c r="CC5" s="239" t="s">
        <v>468</v>
      </c>
      <c r="CD5" s="239" t="s">
        <v>709</v>
      </c>
      <c r="CE5" s="236" t="s">
        <v>463</v>
      </c>
      <c r="CF5" s="236" t="s">
        <v>469</v>
      </c>
      <c r="CG5" s="236" t="s">
        <v>158</v>
      </c>
      <c r="CH5" s="236" t="s">
        <v>160</v>
      </c>
      <c r="CI5" s="236" t="s">
        <v>151</v>
      </c>
      <c r="CJ5" s="236" t="s">
        <v>152</v>
      </c>
      <c r="CK5" s="236" t="s">
        <v>153</v>
      </c>
      <c r="CL5" s="236" t="s">
        <v>161</v>
      </c>
      <c r="CM5" s="236" t="s">
        <v>128</v>
      </c>
      <c r="CN5" s="236" t="s">
        <v>132</v>
      </c>
      <c r="CO5" s="236" t="s">
        <v>154</v>
      </c>
      <c r="CP5" s="236" t="s">
        <v>349</v>
      </c>
      <c r="CQ5" s="236" t="s">
        <v>350</v>
      </c>
      <c r="CR5" s="236" t="s">
        <v>351</v>
      </c>
      <c r="CS5" s="236" t="s">
        <v>345</v>
      </c>
      <c r="CT5" s="236" t="s">
        <v>346</v>
      </c>
      <c r="CU5" s="236" t="s">
        <v>347</v>
      </c>
      <c r="CV5" s="236" t="s">
        <v>343</v>
      </c>
      <c r="CW5" s="252" t="s">
        <v>348</v>
      </c>
      <c r="CX5" s="236" t="s">
        <v>353</v>
      </c>
      <c r="CY5" s="236" t="s">
        <v>354</v>
      </c>
      <c r="CZ5" s="236" t="s">
        <v>355</v>
      </c>
      <c r="DA5" s="236" t="s">
        <v>358</v>
      </c>
      <c r="DB5" s="236" t="s">
        <v>359</v>
      </c>
      <c r="DC5" s="236" t="s">
        <v>356</v>
      </c>
      <c r="DD5" s="2"/>
      <c r="DE5" s="238" t="s">
        <v>145</v>
      </c>
      <c r="DF5" s="238" t="s">
        <v>150</v>
      </c>
      <c r="DG5" s="238" t="s">
        <v>147</v>
      </c>
      <c r="DH5" s="238" t="s">
        <v>146</v>
      </c>
      <c r="DI5" s="238" t="s">
        <v>381</v>
      </c>
      <c r="DJ5" s="238" t="s">
        <v>406</v>
      </c>
      <c r="DK5" s="238" t="s">
        <v>470</v>
      </c>
      <c r="DL5" s="238" t="s">
        <v>407</v>
      </c>
      <c r="DM5" s="238" t="s">
        <v>471</v>
      </c>
      <c r="DN5" s="238" t="s">
        <v>710</v>
      </c>
      <c r="DO5" s="238" t="s">
        <v>78</v>
      </c>
      <c r="DP5" s="238" t="s">
        <v>408</v>
      </c>
    </row>
    <row r="6" spans="1:133">
      <c r="A6" s="240"/>
      <c r="B6" s="243"/>
      <c r="C6" s="248"/>
      <c r="D6" s="236"/>
      <c r="E6" s="236"/>
      <c r="F6" s="236"/>
      <c r="G6" s="236"/>
      <c r="H6" s="246"/>
      <c r="I6" s="236"/>
      <c r="J6" s="236"/>
      <c r="K6" s="236"/>
      <c r="L6" s="237"/>
      <c r="M6" s="237"/>
      <c r="N6" s="236"/>
      <c r="O6" s="236"/>
      <c r="P6" s="236"/>
      <c r="Q6" s="237"/>
      <c r="R6" s="236"/>
      <c r="S6" s="236"/>
      <c r="T6" s="236"/>
      <c r="U6" s="236"/>
      <c r="V6" s="236"/>
      <c r="W6" s="236"/>
      <c r="X6" s="237"/>
      <c r="Y6" s="236"/>
      <c r="Z6" s="236"/>
      <c r="AA6" s="236"/>
      <c r="AB6" s="236"/>
      <c r="AC6" s="236"/>
      <c r="AD6" s="236"/>
      <c r="AE6" s="236"/>
      <c r="AF6" s="237"/>
      <c r="AG6" s="236"/>
      <c r="AH6" s="236"/>
      <c r="AI6" s="236"/>
      <c r="AJ6" s="236"/>
      <c r="AK6" s="236"/>
      <c r="AL6" s="250"/>
      <c r="AM6" s="250"/>
      <c r="AN6" s="250"/>
      <c r="AO6" s="250"/>
      <c r="AP6" s="250"/>
      <c r="AQ6" s="236"/>
      <c r="AR6" s="236"/>
      <c r="AS6" s="236"/>
      <c r="AT6" s="236"/>
      <c r="AU6" s="236"/>
      <c r="AV6" s="236"/>
      <c r="AW6" s="236"/>
      <c r="AX6" s="250"/>
      <c r="AY6" s="250"/>
      <c r="AZ6" s="250"/>
      <c r="BA6" s="250"/>
      <c r="BB6" s="250"/>
      <c r="BC6" s="236"/>
      <c r="BD6" s="249"/>
      <c r="BE6" s="236"/>
      <c r="BF6" s="236"/>
      <c r="BG6" s="236"/>
      <c r="BH6" s="236"/>
      <c r="BI6" s="236"/>
      <c r="BJ6" s="250"/>
      <c r="BK6" s="250"/>
      <c r="BL6" s="250"/>
      <c r="BM6" s="250"/>
      <c r="BN6" s="250"/>
      <c r="BO6" s="236"/>
      <c r="BP6" s="240"/>
      <c r="BQ6" s="240"/>
      <c r="BR6" s="238"/>
      <c r="BS6" s="238"/>
      <c r="BT6" s="238"/>
      <c r="BU6" s="236"/>
      <c r="BV6" s="236"/>
      <c r="BW6" s="236"/>
      <c r="BX6" s="240"/>
      <c r="BY6" s="240"/>
      <c r="BZ6" s="240"/>
      <c r="CA6" s="240"/>
      <c r="CB6" s="240"/>
      <c r="CC6" s="240"/>
      <c r="CD6" s="240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52"/>
      <c r="CX6" s="236"/>
      <c r="CY6" s="236"/>
      <c r="CZ6" s="236"/>
      <c r="DA6" s="236"/>
      <c r="DB6" s="236"/>
      <c r="DC6" s="236"/>
      <c r="DD6" s="2"/>
      <c r="DE6" s="238"/>
      <c r="DF6" s="238"/>
      <c r="DG6" s="238"/>
      <c r="DH6" s="238"/>
      <c r="DI6" s="238"/>
      <c r="DJ6" s="238"/>
      <c r="DK6" s="238"/>
      <c r="DL6" s="238"/>
      <c r="DM6" s="238"/>
      <c r="DN6" s="238"/>
      <c r="DO6" s="238"/>
      <c r="DP6" s="238"/>
    </row>
    <row r="7" spans="1:133" ht="72.75" customHeight="1">
      <c r="A7" s="241"/>
      <c r="B7" s="244"/>
      <c r="C7" s="248"/>
      <c r="D7" s="236"/>
      <c r="E7" s="236"/>
      <c r="F7" s="236"/>
      <c r="G7" s="236"/>
      <c r="H7" s="247"/>
      <c r="I7" s="236"/>
      <c r="J7" s="236"/>
      <c r="K7" s="236"/>
      <c r="L7" s="237"/>
      <c r="M7" s="237"/>
      <c r="N7" s="236"/>
      <c r="O7" s="236"/>
      <c r="P7" s="236"/>
      <c r="Q7" s="237"/>
      <c r="R7" s="236"/>
      <c r="S7" s="236"/>
      <c r="T7" s="236"/>
      <c r="U7" s="236"/>
      <c r="V7" s="236"/>
      <c r="W7" s="236"/>
      <c r="X7" s="237"/>
      <c r="Y7" s="236"/>
      <c r="Z7" s="236"/>
      <c r="AA7" s="236"/>
      <c r="AB7" s="236"/>
      <c r="AC7" s="236"/>
      <c r="AD7" s="236"/>
      <c r="AE7" s="236"/>
      <c r="AF7" s="237"/>
      <c r="AG7" s="236"/>
      <c r="AH7" s="236"/>
      <c r="AI7" s="236"/>
      <c r="AJ7" s="236"/>
      <c r="AK7" s="236"/>
      <c r="AL7" s="250"/>
      <c r="AM7" s="250"/>
      <c r="AN7" s="250"/>
      <c r="AO7" s="250"/>
      <c r="AP7" s="250"/>
      <c r="AQ7" s="236"/>
      <c r="AR7" s="236"/>
      <c r="AS7" s="236"/>
      <c r="AT7" s="236"/>
      <c r="AU7" s="236"/>
      <c r="AV7" s="236"/>
      <c r="AW7" s="236"/>
      <c r="AX7" s="250"/>
      <c r="AY7" s="250"/>
      <c r="AZ7" s="250"/>
      <c r="BA7" s="250"/>
      <c r="BB7" s="250"/>
      <c r="BC7" s="236"/>
      <c r="BD7" s="249"/>
      <c r="BE7" s="236"/>
      <c r="BF7" s="236"/>
      <c r="BG7" s="236"/>
      <c r="BH7" s="236"/>
      <c r="BI7" s="236"/>
      <c r="BJ7" s="250"/>
      <c r="BK7" s="250"/>
      <c r="BL7" s="250"/>
      <c r="BM7" s="250"/>
      <c r="BN7" s="250"/>
      <c r="BO7" s="236"/>
      <c r="BP7" s="241"/>
      <c r="BQ7" s="241"/>
      <c r="BR7" s="238"/>
      <c r="BS7" s="238"/>
      <c r="BT7" s="238"/>
      <c r="BU7" s="236"/>
      <c r="BV7" s="236"/>
      <c r="BW7" s="236"/>
      <c r="BX7" s="241"/>
      <c r="BY7" s="241"/>
      <c r="BZ7" s="241"/>
      <c r="CA7" s="241"/>
      <c r="CB7" s="241"/>
      <c r="CC7" s="241"/>
      <c r="CD7" s="241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52"/>
      <c r="CX7" s="236"/>
      <c r="CY7" s="236"/>
      <c r="CZ7" s="236"/>
      <c r="DA7" s="236"/>
      <c r="DB7" s="236"/>
      <c r="DC7" s="236"/>
      <c r="DD7" s="2"/>
      <c r="DE7" s="238"/>
      <c r="DF7" s="238"/>
      <c r="DG7" s="238"/>
      <c r="DH7" s="238"/>
      <c r="DI7" s="238"/>
      <c r="DJ7" s="238"/>
      <c r="DK7" s="238"/>
      <c r="DL7" s="238"/>
      <c r="DM7" s="238"/>
      <c r="DN7" s="238"/>
      <c r="DO7" s="238"/>
      <c r="DP7" s="238"/>
    </row>
    <row r="8" spans="1:133" s="7" customFormat="1" ht="18" customHeight="1">
      <c r="A8" s="5"/>
      <c r="B8" s="5" t="s">
        <v>78</v>
      </c>
      <c r="C8" s="98"/>
      <c r="D8" s="99">
        <f t="shared" ref="D8:H8" si="0">SUBTOTAL(9,D10:D41)</f>
        <v>0</v>
      </c>
      <c r="E8" s="99">
        <f t="shared" si="0"/>
        <v>0</v>
      </c>
      <c r="F8" s="99">
        <f t="shared" si="0"/>
        <v>0</v>
      </c>
      <c r="G8" s="99">
        <f t="shared" si="0"/>
        <v>26711712.029999997</v>
      </c>
      <c r="H8" s="208">
        <f t="shared" si="0"/>
        <v>26501595.050000001</v>
      </c>
      <c r="I8" s="99">
        <f t="shared" ref="I8:AK8" si="1">SUBTOTAL(9,I10:I41)</f>
        <v>318019140.59999985</v>
      </c>
      <c r="J8" s="99">
        <f t="shared" si="1"/>
        <v>96041780.429999977</v>
      </c>
      <c r="K8" s="99">
        <f t="shared" ref="K8" si="2">SUBTOTAL(9,K10:K41)</f>
        <v>414060921.03000003</v>
      </c>
      <c r="L8" s="99">
        <f t="shared" ca="1" si="1"/>
        <v>306253126.59999996</v>
      </c>
      <c r="M8" s="99">
        <f t="shared" ca="1" si="1"/>
        <v>268287829.59999996</v>
      </c>
      <c r="N8" s="99">
        <f t="shared" ca="1" si="1"/>
        <v>206059000</v>
      </c>
      <c r="O8" s="99">
        <f t="shared" ca="1" si="1"/>
        <v>62228829.600000009</v>
      </c>
      <c r="P8" s="99">
        <f ca="1">SUBTOTAL(9,P10:P41)</f>
        <v>268287829.59999996</v>
      </c>
      <c r="Q8" s="99">
        <f t="shared" si="1"/>
        <v>920580</v>
      </c>
      <c r="R8" s="99">
        <f t="shared" si="1"/>
        <v>707000</v>
      </c>
      <c r="S8" s="99">
        <f t="shared" si="1"/>
        <v>213580</v>
      </c>
      <c r="T8" s="99">
        <f t="shared" si="1"/>
        <v>920580</v>
      </c>
      <c r="U8" s="99">
        <f t="shared" ca="1" si="1"/>
        <v>102849040.59999998</v>
      </c>
      <c r="V8" s="99">
        <f t="shared" ca="1" si="1"/>
        <v>31061165.239999995</v>
      </c>
      <c r="W8" s="99">
        <f t="shared" ca="1" si="1"/>
        <v>133910205.83999997</v>
      </c>
      <c r="X8" s="99">
        <f ca="1">SUBTOTAL(9,X10:X41)</f>
        <v>37965297</v>
      </c>
      <c r="Y8" s="99">
        <f t="shared" ref="Y8:AD8" ca="1" si="3">SUBTOTAL(9,Y10:Y41)</f>
        <v>29159000</v>
      </c>
      <c r="Z8" s="99">
        <f t="shared" ca="1" si="3"/>
        <v>8806297</v>
      </c>
      <c r="AA8" s="99">
        <f t="shared" ca="1" si="3"/>
        <v>37965297</v>
      </c>
      <c r="AB8" s="99">
        <f t="shared" ca="1" si="3"/>
        <v>73690040.599999994</v>
      </c>
      <c r="AC8" s="99">
        <f t="shared" ca="1" si="3"/>
        <v>22254868.240000002</v>
      </c>
      <c r="AD8" s="99">
        <f t="shared" ca="1" si="3"/>
        <v>95944908.839999989</v>
      </c>
      <c r="AE8" s="99">
        <f t="shared" ca="1" si="1"/>
        <v>93318818.340000004</v>
      </c>
      <c r="AF8" s="99">
        <f t="shared" ref="AF8" ca="1" si="4">SUBTOTAL(9,AF10:AF41)</f>
        <v>48768509.380000003</v>
      </c>
      <c r="AG8" s="99">
        <f t="shared" si="1"/>
        <v>11963050</v>
      </c>
      <c r="AH8" s="99">
        <f t="shared" si="1"/>
        <v>36505161.109999992</v>
      </c>
      <c r="AI8" s="99">
        <f t="shared" si="1"/>
        <v>1456680.09</v>
      </c>
      <c r="AJ8" s="99">
        <f t="shared" si="1"/>
        <v>338246.68999999994</v>
      </c>
      <c r="AK8" s="99">
        <f t="shared" si="1"/>
        <v>285600</v>
      </c>
      <c r="AL8" s="99">
        <f t="shared" ref="AL8:AP8" si="5">SUBTOTAL(9,AL10:AL41)</f>
        <v>203000</v>
      </c>
      <c r="AM8" s="99">
        <f t="shared" si="5"/>
        <v>0</v>
      </c>
      <c r="AN8" s="99">
        <f t="shared" si="5"/>
        <v>160000</v>
      </c>
      <c r="AO8" s="99">
        <f t="shared" si="5"/>
        <v>0</v>
      </c>
      <c r="AP8" s="99">
        <f t="shared" si="5"/>
        <v>0</v>
      </c>
      <c r="AQ8" s="99">
        <f t="shared" ref="AQ8:CO8" si="6">SUBTOTAL(9,AQ10:AQ41)</f>
        <v>50911737.889999986</v>
      </c>
      <c r="AR8" s="214">
        <f ca="1">SUBTOTAL(9,AR10:AR41)</f>
        <v>-2143228.5099999998</v>
      </c>
      <c r="AS8" s="99">
        <f t="shared" ref="AS8:BD8" si="7">SUBTOTAL(9,AS10:AS41)</f>
        <v>0</v>
      </c>
      <c r="AT8" s="99">
        <f t="shared" ca="1" si="7"/>
        <v>3547525.4499999993</v>
      </c>
      <c r="AU8" s="99">
        <f t="shared" si="7"/>
        <v>0</v>
      </c>
      <c r="AV8" s="99">
        <f t="shared" si="7"/>
        <v>0</v>
      </c>
      <c r="AW8" s="99">
        <f t="shared" si="7"/>
        <v>0</v>
      </c>
      <c r="AX8" s="99">
        <f t="shared" si="7"/>
        <v>0</v>
      </c>
      <c r="AY8" s="99">
        <f t="shared" si="7"/>
        <v>0</v>
      </c>
      <c r="AZ8" s="99">
        <f t="shared" si="7"/>
        <v>0</v>
      </c>
      <c r="BA8" s="99">
        <f t="shared" si="7"/>
        <v>0</v>
      </c>
      <c r="BB8" s="99">
        <f t="shared" si="7"/>
        <v>0</v>
      </c>
      <c r="BC8" s="208">
        <f t="shared" ca="1" si="7"/>
        <v>3547525.4499999993</v>
      </c>
      <c r="BD8" s="99">
        <f t="shared" ca="1" si="7"/>
        <v>1404296.94</v>
      </c>
      <c r="BE8" s="99">
        <f t="shared" ref="BE8:BO8" si="8">SUBTOTAL(9,BE10:BE41)</f>
        <v>11963050</v>
      </c>
      <c r="BF8" s="99">
        <f t="shared" ca="1" si="8"/>
        <v>32957635.659999993</v>
      </c>
      <c r="BG8" s="99">
        <f t="shared" si="8"/>
        <v>1456680.09</v>
      </c>
      <c r="BH8" s="99">
        <f t="shared" si="8"/>
        <v>338246.68999999994</v>
      </c>
      <c r="BI8" s="99">
        <f t="shared" si="8"/>
        <v>285600</v>
      </c>
      <c r="BJ8" s="99">
        <f t="shared" si="8"/>
        <v>203000</v>
      </c>
      <c r="BK8" s="99">
        <f t="shared" si="8"/>
        <v>0</v>
      </c>
      <c r="BL8" s="99">
        <f t="shared" si="8"/>
        <v>160000</v>
      </c>
      <c r="BM8" s="99">
        <f t="shared" si="8"/>
        <v>0</v>
      </c>
      <c r="BN8" s="99">
        <f t="shared" si="8"/>
        <v>0</v>
      </c>
      <c r="BO8" s="99">
        <f t="shared" ca="1" si="8"/>
        <v>47364212.439999998</v>
      </c>
      <c r="BP8" s="99">
        <f>SUBTOTAL(9,BP10:BP41)</f>
        <v>112100</v>
      </c>
      <c r="BQ8" s="208">
        <f>SUBTOTAL(9,BQ10:BQ41)</f>
        <v>703026</v>
      </c>
      <c r="BR8" s="99">
        <f t="shared" ref="BR8:BV8" ca="1" si="9">SUBTOTAL(9,BR10:BR41)</f>
        <v>8404100</v>
      </c>
      <c r="BS8" s="99">
        <f t="shared" ca="1" si="9"/>
        <v>2538205.59</v>
      </c>
      <c r="BT8" s="99">
        <f t="shared" ca="1" si="9"/>
        <v>10942305.590000002</v>
      </c>
      <c r="BU8" s="99">
        <f t="shared" ca="1" si="9"/>
        <v>1504276.8999999994</v>
      </c>
      <c r="BV8" s="99">
        <f t="shared" ca="1" si="9"/>
        <v>12446582.490000004</v>
      </c>
      <c r="BW8" s="99">
        <f t="shared" ca="1" si="6"/>
        <v>33508023.410000004</v>
      </c>
      <c r="BX8" s="99">
        <f t="shared" ref="BX8:BY8" si="10">SUBTOTAL(9,BX10:BX41)</f>
        <v>282291.53999999998</v>
      </c>
      <c r="BY8" s="99">
        <f t="shared" si="10"/>
        <v>333795</v>
      </c>
      <c r="BZ8" s="99">
        <f t="shared" si="6"/>
        <v>991761.03</v>
      </c>
      <c r="CA8" s="99">
        <f t="shared" si="6"/>
        <v>296369.64</v>
      </c>
      <c r="CB8" s="99">
        <f t="shared" ref="CB8:CD8" si="11">SUBTOTAL(9,CB10:CB41)</f>
        <v>605829</v>
      </c>
      <c r="CC8" s="99">
        <f t="shared" si="11"/>
        <v>148225.64000000001</v>
      </c>
      <c r="CD8" s="208">
        <f t="shared" si="11"/>
        <v>304292.3</v>
      </c>
      <c r="CE8" s="99">
        <f t="shared" si="6"/>
        <v>248700</v>
      </c>
      <c r="CF8" s="208">
        <f t="shared" ref="CF8" si="12">SUBTOTAL(9,CF10:CF41)</f>
        <v>3211264.15</v>
      </c>
      <c r="CG8" s="99">
        <f t="shared" si="6"/>
        <v>4636493.07</v>
      </c>
      <c r="CH8" s="99">
        <f t="shared" ca="1" si="6"/>
        <v>30296759.259999998</v>
      </c>
      <c r="CI8" s="99">
        <f t="shared" ca="1" si="6"/>
        <v>19708649.48</v>
      </c>
      <c r="CJ8" s="99">
        <f t="shared" ca="1" si="6"/>
        <v>5951616.709999999</v>
      </c>
      <c r="CK8" s="99">
        <f t="shared" ca="1" si="6"/>
        <v>25660266.190000013</v>
      </c>
      <c r="CL8" s="208">
        <f t="shared" ca="1" si="6"/>
        <v>6.9849193096160889E-10</v>
      </c>
      <c r="CM8" s="99">
        <f t="shared" ca="1" si="6"/>
        <v>53981391.120000012</v>
      </c>
      <c r="CN8" s="99">
        <f t="shared" ca="1" si="6"/>
        <v>16303251.529999997</v>
      </c>
      <c r="CO8" s="99">
        <f t="shared" ca="1" si="6"/>
        <v>70284642.650000006</v>
      </c>
      <c r="CP8" s="99">
        <f ca="1">SUBTOTAL(9,CP10:CP41)</f>
        <v>318019140.59999985</v>
      </c>
      <c r="CQ8" s="99">
        <f ca="1">SUBTOTAL(9,CQ10:CQ41)</f>
        <v>96041780.429999977</v>
      </c>
      <c r="CR8" s="99">
        <f ca="1">SUBTOTAL(9,CR10:CR41)</f>
        <v>414060921.02999997</v>
      </c>
      <c r="CS8" s="99">
        <f t="shared" ref="CS8:CU8" ca="1" si="13">SUBTOTAL(9,CS10:CS41)</f>
        <v>268287829.59999996</v>
      </c>
      <c r="CT8" s="99">
        <f t="shared" ca="1" si="13"/>
        <v>37965297</v>
      </c>
      <c r="CU8" s="99">
        <f t="shared" si="13"/>
        <v>920580</v>
      </c>
      <c r="CV8" s="99">
        <f t="shared" ref="CV8:DC8" ca="1" si="14">SUBTOTAL(9,CV10:CV41)</f>
        <v>93318818.340000004</v>
      </c>
      <c r="CW8" s="100">
        <f t="shared" ca="1" si="14"/>
        <v>400492524.94000006</v>
      </c>
      <c r="CX8" s="99">
        <f t="shared" ca="1" si="14"/>
        <v>0</v>
      </c>
      <c r="CY8" s="99">
        <f t="shared" ca="1" si="14"/>
        <v>0</v>
      </c>
      <c r="CZ8" s="99">
        <f t="shared" ca="1" si="14"/>
        <v>0</v>
      </c>
      <c r="DA8" s="214">
        <f t="shared" ref="DA8:DB8" ca="1" si="15">SUBTOTAL(9,DA10:DA41)</f>
        <v>400492524.94000006</v>
      </c>
      <c r="DB8" s="99">
        <f t="shared" ca="1" si="15"/>
        <v>0</v>
      </c>
      <c r="DC8" s="208">
        <f t="shared" ca="1" si="14"/>
        <v>470777167.59000009</v>
      </c>
      <c r="DD8" s="1"/>
      <c r="DE8" s="99">
        <f t="shared" ref="DE8:DP8" si="16">SUBTOTAL(9,DE10:DE41)</f>
        <v>3399126.7</v>
      </c>
      <c r="DF8" s="99">
        <f>SUBTOTAL(9,DF10:DF41)</f>
        <v>515000</v>
      </c>
      <c r="DG8" s="99">
        <f t="shared" si="16"/>
        <v>687900</v>
      </c>
      <c r="DH8" s="99">
        <f>SUBTOTAL(9,DH10:DH41)</f>
        <v>16534500</v>
      </c>
      <c r="DI8" s="99">
        <f t="shared" si="16"/>
        <v>21136526.699999999</v>
      </c>
      <c r="DJ8" s="99">
        <f t="shared" ref="DJ8:DK8" si="17">SUBTOTAL(9,DJ10:DJ41)</f>
        <v>5100000</v>
      </c>
      <c r="DK8" s="99">
        <f t="shared" ca="1" si="17"/>
        <v>3547525.4499999993</v>
      </c>
      <c r="DL8" s="99">
        <f t="shared" si="16"/>
        <v>7600000</v>
      </c>
      <c r="DM8" s="99">
        <f t="shared" ref="DM8:DN8" si="18">SUBTOTAL(9,DM10:DM41)</f>
        <v>112100</v>
      </c>
      <c r="DN8" s="99">
        <f t="shared" si="18"/>
        <v>703026</v>
      </c>
      <c r="DO8" s="217">
        <f t="shared" ca="1" si="16"/>
        <v>38199178.149999991</v>
      </c>
      <c r="DP8" s="220">
        <f t="shared" ca="1" si="16"/>
        <v>508976345.74000007</v>
      </c>
      <c r="DQ8" s="1"/>
      <c r="DR8" s="6"/>
    </row>
    <row r="9" spans="1:133" s="7" customFormat="1" ht="15.75">
      <c r="A9" s="5"/>
      <c r="B9" s="5"/>
      <c r="C9" s="5"/>
      <c r="D9" s="5"/>
      <c r="E9" s="5"/>
      <c r="F9" s="5"/>
      <c r="G9" s="6"/>
      <c r="H9" s="210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210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210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210"/>
      <c r="CE9" s="6"/>
      <c r="CF9" s="6"/>
      <c r="CG9" s="6"/>
      <c r="CH9" s="6"/>
      <c r="CI9" s="6"/>
      <c r="CJ9" s="6"/>
      <c r="CK9" s="6"/>
      <c r="CL9" s="210"/>
      <c r="CM9" s="6"/>
      <c r="CN9" s="6"/>
      <c r="CO9" s="6"/>
      <c r="CP9" s="6"/>
      <c r="CQ9" s="6"/>
      <c r="CR9" s="6"/>
      <c r="CS9" s="103">
        <f ca="1">CS8-M8</f>
        <v>0</v>
      </c>
      <c r="CT9" s="103">
        <f ca="1">CT8-X8</f>
        <v>0</v>
      </c>
      <c r="CU9" s="103">
        <f>CU8-Q8</f>
        <v>0</v>
      </c>
      <c r="CV9" s="103">
        <f ca="1">CV8-AE8</f>
        <v>0</v>
      </c>
      <c r="CW9" s="92"/>
      <c r="CX9" s="6"/>
      <c r="CY9" s="6"/>
      <c r="CZ9" s="6"/>
      <c r="DA9" s="215"/>
      <c r="DB9" s="6"/>
      <c r="DC9" s="210"/>
      <c r="DD9" s="1"/>
      <c r="DE9" s="6"/>
      <c r="DF9" s="6"/>
      <c r="DG9" s="6"/>
      <c r="DH9" s="6"/>
      <c r="DI9" s="6"/>
      <c r="DJ9" s="11"/>
      <c r="DK9" s="11"/>
      <c r="DL9" s="11"/>
      <c r="DM9" s="11"/>
      <c r="DN9" s="11"/>
      <c r="DO9" s="222"/>
      <c r="DP9" s="221"/>
      <c r="DQ9" s="1"/>
      <c r="DR9" s="11"/>
    </row>
    <row r="10" spans="1:133">
      <c r="A10" s="12">
        <v>1</v>
      </c>
      <c r="B10" s="3" t="s">
        <v>46</v>
      </c>
      <c r="C10" s="12" t="s">
        <v>181</v>
      </c>
      <c r="D10" s="102"/>
      <c r="E10" s="102"/>
      <c r="F10" s="102"/>
      <c r="G10" s="4">
        <v>540191.95000000007</v>
      </c>
      <c r="H10" s="211">
        <v>545180.09999999986</v>
      </c>
      <c r="I10" s="4">
        <f>H10*12</f>
        <v>6542161.1999999983</v>
      </c>
      <c r="J10" s="4">
        <f t="shared" ref="J10:J41" si="19">ROUND(I10*0.302,2)</f>
        <v>1975732.68</v>
      </c>
      <c r="K10" s="4">
        <f t="shared" ref="K10:K41" si="20">I10+J10</f>
        <v>8517893.879999999</v>
      </c>
      <c r="L10" s="4">
        <f ca="1">SUMIF(норм2016!$Q$11:$AR$76,$C10,норм2016!$AX$11:$AX$76)</f>
        <v>5463793</v>
      </c>
      <c r="M10" s="4">
        <f ca="1">SUMIF(норм2016!$Q$11:$AR$76,$C10,норм2016!$AY$11:$AY$76)</f>
        <v>3435532</v>
      </c>
      <c r="N10" s="4">
        <f t="shared" ref="N10:N41" ca="1" si="21">ROUND(P10/1.302,-3)</f>
        <v>2639000</v>
      </c>
      <c r="O10" s="4">
        <f t="shared" ref="O10:O41" ca="1" si="22">P10-N10</f>
        <v>796532</v>
      </c>
      <c r="P10" s="4">
        <f ca="1">M10</f>
        <v>3435532</v>
      </c>
      <c r="Q10" s="2"/>
      <c r="R10" s="2"/>
      <c r="S10" s="2"/>
      <c r="T10" s="2"/>
      <c r="U10" s="4">
        <f t="shared" ref="U10:U41" ca="1" si="23">I10-N10-R10-BR10</f>
        <v>3747561.1999999983</v>
      </c>
      <c r="V10" s="4">
        <f t="shared" ref="V10:V41" ca="1" si="24">J10-O10-S10-BS10</f>
        <v>1132168.6499999999</v>
      </c>
      <c r="W10" s="4">
        <f t="shared" ref="W10:W29" ca="1" si="25">SUM(U10:V10)</f>
        <v>4879729.8499999978</v>
      </c>
      <c r="X10" s="4">
        <f ca="1">SUMIF(норм2016!$Q$11:$AR$76,$C10,норм2016!$AZ$11:$AZ$76)</f>
        <v>2028261</v>
      </c>
      <c r="Y10" s="4">
        <f ca="1">ROUND(X10/1.302,-3)</f>
        <v>1558000</v>
      </c>
      <c r="Z10" s="4">
        <f ca="1">X10-Y10</f>
        <v>470261</v>
      </c>
      <c r="AA10" s="4">
        <f t="shared" ref="AA10:AA41" ca="1" si="26">SUM(Y10:Z10)</f>
        <v>2028261</v>
      </c>
      <c r="AB10" s="4">
        <f ca="1">ROUND(U10-Y10,2)</f>
        <v>2189561.2000000002</v>
      </c>
      <c r="AC10" s="4">
        <f ca="1">V10-Z10</f>
        <v>661907.64999999991</v>
      </c>
      <c r="AD10" s="4">
        <f t="shared" ref="AD10:AD29" ca="1" si="27">SUM(AB10:AC10)</f>
        <v>2851468.85</v>
      </c>
      <c r="AE10" s="4">
        <f ca="1">SUMIF(норм2016!$Q$11:$AR$76,$C10,норм2016!$BC$11:$BC$76)</f>
        <v>1926684.03</v>
      </c>
      <c r="AF10" s="211">
        <f ca="1">SUMIF(норм2016!$Q$11:$AR$76,$C10,норм2016!$BM$11:$BM$76)</f>
        <v>1029130.54</v>
      </c>
      <c r="AG10" s="211">
        <v>71500</v>
      </c>
      <c r="AH10" s="211">
        <v>825037.83</v>
      </c>
      <c r="AI10" s="211">
        <f>SUMIF(газ!$G$71:$G$147,C10,газ!$J$71:$J$147)*1000</f>
        <v>115547.19</v>
      </c>
      <c r="AJ10" s="211">
        <v>0</v>
      </c>
      <c r="AK10" s="211">
        <v>0</v>
      </c>
      <c r="AL10" s="211">
        <v>40000</v>
      </c>
      <c r="AM10" s="211">
        <v>0</v>
      </c>
      <c r="AN10" s="211">
        <v>0</v>
      </c>
      <c r="AO10" s="211">
        <v>0</v>
      </c>
      <c r="AP10" s="211">
        <v>0</v>
      </c>
      <c r="AQ10" s="211">
        <f>SUM(AG10:AP10)</f>
        <v>1052085.02</v>
      </c>
      <c r="AR10" s="211">
        <f ca="1">ROUND(AF10-AQ10,2)</f>
        <v>-22954.48</v>
      </c>
      <c r="AS10" s="4"/>
      <c r="AT10" s="211">
        <f ca="1">-$AR10</f>
        <v>22954.48</v>
      </c>
      <c r="AU10" s="4"/>
      <c r="AV10" s="4"/>
      <c r="AW10" s="4"/>
      <c r="AX10" s="4"/>
      <c r="AY10" s="4"/>
      <c r="AZ10" s="4"/>
      <c r="BA10" s="4"/>
      <c r="BB10" s="4"/>
      <c r="BC10" s="211">
        <f ca="1">SUM(AS10:BB10)</f>
        <v>22954.48</v>
      </c>
      <c r="BD10" s="4">
        <f ca="1">AR10+BC10</f>
        <v>0</v>
      </c>
      <c r="BE10" s="4">
        <f>AG10-AS10</f>
        <v>71500</v>
      </c>
      <c r="BF10" s="4">
        <f t="shared" ref="BF10:BN10" ca="1" si="28">AH10-AT10</f>
        <v>802083.35</v>
      </c>
      <c r="BG10" s="4">
        <f t="shared" si="28"/>
        <v>115547.19</v>
      </c>
      <c r="BH10" s="4">
        <f t="shared" si="28"/>
        <v>0</v>
      </c>
      <c r="BI10" s="4">
        <f t="shared" si="28"/>
        <v>0</v>
      </c>
      <c r="BJ10" s="4">
        <f t="shared" si="28"/>
        <v>40000</v>
      </c>
      <c r="BK10" s="4">
        <f t="shared" si="28"/>
        <v>0</v>
      </c>
      <c r="BL10" s="4">
        <f t="shared" si="28"/>
        <v>0</v>
      </c>
      <c r="BM10" s="4">
        <f t="shared" si="28"/>
        <v>0</v>
      </c>
      <c r="BN10" s="4">
        <f t="shared" si="28"/>
        <v>0</v>
      </c>
      <c r="BO10" s="4">
        <f ca="1">SUM(BE10:BN10)</f>
        <v>1029130.54</v>
      </c>
      <c r="BP10" s="4">
        <v>0</v>
      </c>
      <c r="BQ10" s="211"/>
      <c r="BR10" s="4">
        <f t="shared" ref="BR10:BR29" ca="1" si="29">ROUND(BT10/1.302,-2)</f>
        <v>155600</v>
      </c>
      <c r="BS10" s="4">
        <f t="shared" ref="BS10:BS29" ca="1" si="30">BT10-BR10</f>
        <v>47032.03</v>
      </c>
      <c r="BT10" s="4">
        <f ca="1">SUMIF(норм2016!$Q$11:$AR$76,$C10,норм2016!$BE$11:$BE$76)</f>
        <v>202632.03</v>
      </c>
      <c r="BU10" s="4">
        <f ca="1">SUMIF(норм2016!$Q$11:$AR$76,$C10,норм2016!$BF$11:$BF$76)</f>
        <v>29428.880000000001</v>
      </c>
      <c r="BV10" s="4">
        <f t="shared" ref="BV10:BV41" ca="1" si="31">BT10+BU10</f>
        <v>232060.91</v>
      </c>
      <c r="BW10" s="4">
        <f ca="1">AE10-BO10-BV10</f>
        <v>665492.57999999996</v>
      </c>
      <c r="BX10" s="211">
        <v>10049.200000000001</v>
      </c>
      <c r="BY10" s="211"/>
      <c r="BZ10" s="211">
        <v>19116</v>
      </c>
      <c r="CA10" s="211">
        <v>5040</v>
      </c>
      <c r="CB10" s="211">
        <v>12885</v>
      </c>
      <c r="CC10" s="211"/>
      <c r="CD10" s="211">
        <v>10500</v>
      </c>
      <c r="CE10" s="211"/>
      <c r="CF10" s="4">
        <f>SUM(BX10:CE10)</f>
        <v>57590.2</v>
      </c>
      <c r="CG10" s="4">
        <v>61215.5</v>
      </c>
      <c r="CH10" s="4">
        <f t="shared" ref="CH10:CH17" ca="1" si="32">BW10-CF10</f>
        <v>607902.38</v>
      </c>
      <c r="CI10" s="211">
        <f t="shared" ref="CI10" ca="1" si="33">ROUND(CK10/1.302,-2)</f>
        <v>419900</v>
      </c>
      <c r="CJ10" s="4">
        <f t="shared" ref="CJ10" ca="1" si="34">CK10-CI10</f>
        <v>126786.88</v>
      </c>
      <c r="CK10" s="211">
        <f ca="1">ROUND(SUMIF(норм2016!$Q$11:$AR$76,$C10,норм2016!$BG$11:$BG$76),2)</f>
        <v>546686.88</v>
      </c>
      <c r="CL10" s="211">
        <f ca="1">CH10-CK10-CG10</f>
        <v>0</v>
      </c>
      <c r="CM10" s="4">
        <f t="shared" ref="CM10:CM41" ca="1" si="35">AB10-CI10</f>
        <v>1769661.2000000002</v>
      </c>
      <c r="CN10" s="4">
        <f t="shared" ref="CN10:CN41" ca="1" si="36">AC10-CJ10</f>
        <v>535120.7699999999</v>
      </c>
      <c r="CO10" s="4">
        <f t="shared" ref="CO10:CO41" ca="1" si="37">SUM(CM10:CN10)</f>
        <v>2304781.9700000002</v>
      </c>
      <c r="CP10" s="4">
        <f t="shared" ref="CP10:CP41" ca="1" si="38">N10+R10+Y10+CI10+CM10+BR10</f>
        <v>6542161.2000000002</v>
      </c>
      <c r="CQ10" s="4">
        <f t="shared" ref="CQ10:CQ41" ca="1" si="39">O10+S10+Z10+CJ10+CN10+BS10</f>
        <v>1975732.68</v>
      </c>
      <c r="CR10" s="4">
        <f ca="1">SUM(CP10:CQ10)</f>
        <v>8517893.8800000008</v>
      </c>
      <c r="CS10" s="4">
        <f ca="1">N10+O10</f>
        <v>3435532</v>
      </c>
      <c r="CT10" s="4">
        <f t="shared" ref="CT10:CT41" ca="1" si="40">AA10</f>
        <v>2028261</v>
      </c>
      <c r="CU10" s="4">
        <f t="shared" ref="CU10:CU41" si="41">T10</f>
        <v>0</v>
      </c>
      <c r="CV10" s="4">
        <f ca="1">BO10+BV10+CG10+CK10+CF10</f>
        <v>1926684.03</v>
      </c>
      <c r="CW10" s="93">
        <f ca="1">SUM(CS10:CV10)</f>
        <v>7390477.0300000003</v>
      </c>
      <c r="CX10" s="4">
        <f t="shared" ref="CX10:CX41" ca="1" si="42">I10-CP10</f>
        <v>0</v>
      </c>
      <c r="CY10" s="4">
        <f t="shared" ref="CY10:CY41" ca="1" si="43">J10-CQ10</f>
        <v>0</v>
      </c>
      <c r="CZ10" s="4">
        <f ca="1">SUM(CX10:CY10)</f>
        <v>0</v>
      </c>
      <c r="DA10" s="216">
        <f t="shared" ref="DA10:DA41" ca="1" si="44">M10+Q10+X10+AE10</f>
        <v>7390477.0300000003</v>
      </c>
      <c r="DB10" s="4">
        <f t="shared" ref="DB10:DB41" ca="1" si="45">DA10-CW10</f>
        <v>0</v>
      </c>
      <c r="DC10" s="211">
        <f t="shared" ref="DC10:DC41" ca="1" si="46">CW10+CO10</f>
        <v>9695259</v>
      </c>
      <c r="DE10" s="4"/>
      <c r="DF10" s="4"/>
      <c r="DG10" s="4"/>
      <c r="DH10" s="4"/>
      <c r="DI10" s="4"/>
      <c r="DJ10" s="4"/>
      <c r="DK10" s="4">
        <f ca="1">BC10</f>
        <v>22954.48</v>
      </c>
      <c r="DL10" s="4">
        <v>0</v>
      </c>
      <c r="DM10" s="4">
        <f>BP10</f>
        <v>0</v>
      </c>
      <c r="DN10" s="4">
        <f>BQ10</f>
        <v>0</v>
      </c>
      <c r="DO10" s="218">
        <f ca="1">SUM(DI10:DN10)</f>
        <v>22954.48</v>
      </c>
      <c r="DP10" s="219">
        <f ca="1">DC10+DO10</f>
        <v>9718213.4800000004</v>
      </c>
      <c r="DQ10" s="8" t="s">
        <v>106</v>
      </c>
      <c r="EA10" s="1" t="s">
        <v>363</v>
      </c>
      <c r="EB10" s="10">
        <v>825037.83</v>
      </c>
      <c r="EC10" s="223">
        <v>0</v>
      </c>
    </row>
    <row r="11" spans="1:133">
      <c r="A11" s="12">
        <v>2</v>
      </c>
      <c r="B11" s="3" t="s">
        <v>47</v>
      </c>
      <c r="C11" s="12" t="s">
        <v>184</v>
      </c>
      <c r="D11" s="102"/>
      <c r="E11" s="102"/>
      <c r="F11" s="102"/>
      <c r="G11" s="4">
        <v>535713.67000000004</v>
      </c>
      <c r="H11" s="211">
        <v>496776.42000000004</v>
      </c>
      <c r="I11" s="4">
        <f t="shared" ref="I11:I41" si="47">H11*12</f>
        <v>5961317.040000001</v>
      </c>
      <c r="J11" s="4">
        <f t="shared" si="19"/>
        <v>1800317.75</v>
      </c>
      <c r="K11" s="4">
        <f t="shared" si="20"/>
        <v>7761634.790000001</v>
      </c>
      <c r="L11" s="4">
        <f ca="1">SUMIF(норм2016!$Q$11:$AR$76,C11,норм2016!$AX$11:$AX$76)</f>
        <v>5452265</v>
      </c>
      <c r="M11" s="4">
        <f ca="1">SUMIF(норм2016!$Q$11:$AR$76,$C11,норм2016!$AY$11:$AY$76)</f>
        <v>5452265</v>
      </c>
      <c r="N11" s="4">
        <f t="shared" ca="1" si="21"/>
        <v>4188000</v>
      </c>
      <c r="O11" s="4">
        <f t="shared" ca="1" si="22"/>
        <v>1264265</v>
      </c>
      <c r="P11" s="4">
        <f t="shared" ref="P11:P41" ca="1" si="48">M11</f>
        <v>5452265</v>
      </c>
      <c r="Q11" s="2"/>
      <c r="R11" s="2"/>
      <c r="S11" s="2"/>
      <c r="T11" s="2"/>
      <c r="U11" s="4">
        <f t="shared" ca="1" si="23"/>
        <v>1592717.040000001</v>
      </c>
      <c r="V11" s="4">
        <f t="shared" ca="1" si="24"/>
        <v>481500.77</v>
      </c>
      <c r="W11" s="4">
        <f t="shared" ca="1" si="25"/>
        <v>2074217.810000001</v>
      </c>
      <c r="X11" s="4">
        <f ca="1">SUMIF(норм2016!$Q$11:$AR$76,$C11,норм2016!$AZ$11:$AZ$76)</f>
        <v>0</v>
      </c>
      <c r="Y11" s="4">
        <f t="shared" ref="Y11:Y41" ca="1" si="49">ROUND(X11/1.302,-3)</f>
        <v>0</v>
      </c>
      <c r="Z11" s="4">
        <f t="shared" ref="Z11:Z41" ca="1" si="50">X11-Y11</f>
        <v>0</v>
      </c>
      <c r="AA11" s="4">
        <f t="shared" ca="1" si="26"/>
        <v>0</v>
      </c>
      <c r="AB11" s="211">
        <f t="shared" ref="AB11:AB41" ca="1" si="51">ROUND(U11-Y11,2)</f>
        <v>1592717.04</v>
      </c>
      <c r="AC11" s="4">
        <f t="shared" ref="AC11:AC41" ca="1" si="52">V11-Z11</f>
        <v>481500.77</v>
      </c>
      <c r="AD11" s="4">
        <f t="shared" ca="1" si="27"/>
        <v>2074217.81</v>
      </c>
      <c r="AE11" s="4">
        <f ca="1">SUMIF(норм2016!$Q$11:$AR$76,$C11,норм2016!$BC$11:$BC$76)</f>
        <v>1907322.68</v>
      </c>
      <c r="AF11" s="4">
        <f ca="1">SUMIF(норм2016!$Q$11:$AR$76,$C11,норм2016!$BM$11:$BM$76)</f>
        <v>899163.52</v>
      </c>
      <c r="AG11" s="4">
        <v>280500</v>
      </c>
      <c r="AH11" s="211">
        <v>675674.81</v>
      </c>
      <c r="AI11" s="4">
        <f>SUMIF(газ!$G$71:$G$147,C11,газ!$J$71:$J$147)*1000</f>
        <v>63480.82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f t="shared" ref="AQ11:AQ41" si="53">SUM(AG11:AP11)</f>
        <v>1019655.63</v>
      </c>
      <c r="AR11" s="211">
        <f t="shared" ref="AR11:AR41" ca="1" si="54">ROUND(AF11-AQ11,2)</f>
        <v>-120492.11</v>
      </c>
      <c r="AS11" s="4"/>
      <c r="AT11" s="4">
        <f t="shared" ref="AT11:AT13" ca="1" si="55">-$AR11</f>
        <v>120492.11</v>
      </c>
      <c r="AU11" s="4"/>
      <c r="AV11" s="4"/>
      <c r="AW11" s="4"/>
      <c r="AX11" s="4"/>
      <c r="AY11" s="4"/>
      <c r="AZ11" s="4"/>
      <c r="BA11" s="4"/>
      <c r="BB11" s="4"/>
      <c r="BC11" s="211">
        <f t="shared" ref="BC11:BC41" ca="1" si="56">SUM(AS11:BB11)</f>
        <v>120492.11</v>
      </c>
      <c r="BD11" s="4">
        <f t="shared" ref="BD11:BD41" ca="1" si="57">AR11+BC11</f>
        <v>0</v>
      </c>
      <c r="BE11" s="4">
        <f t="shared" ref="BE11:BE41" si="58">AG11-AS11</f>
        <v>280500</v>
      </c>
      <c r="BF11" s="4">
        <f t="shared" ref="BF11:BF41" ca="1" si="59">AH11-AT11</f>
        <v>555182.70000000007</v>
      </c>
      <c r="BG11" s="4">
        <f t="shared" ref="BG11:BG41" si="60">AI11-AU11</f>
        <v>63480.82</v>
      </c>
      <c r="BH11" s="4">
        <f t="shared" ref="BH11:BH41" si="61">AJ11-AV11</f>
        <v>0</v>
      </c>
      <c r="BI11" s="4">
        <f t="shared" ref="BI11:BI41" si="62">AK11-AW11</f>
        <v>0</v>
      </c>
      <c r="BJ11" s="4">
        <f t="shared" ref="BJ11:BJ41" si="63">AL11-AX11</f>
        <v>0</v>
      </c>
      <c r="BK11" s="4">
        <f t="shared" ref="BK11:BK41" si="64">AM11-AY11</f>
        <v>0</v>
      </c>
      <c r="BL11" s="4">
        <f t="shared" ref="BL11:BL41" si="65">AN11-AZ11</f>
        <v>0</v>
      </c>
      <c r="BM11" s="4">
        <f t="shared" ref="BM11:BM41" si="66">AO11-BA11</f>
        <v>0</v>
      </c>
      <c r="BN11" s="4">
        <f t="shared" ref="BN11:BN41" si="67">AP11-BB11</f>
        <v>0</v>
      </c>
      <c r="BO11" s="4">
        <f t="shared" ref="BO11:BO41" ca="1" si="68">SUM(BE11:BN11)</f>
        <v>899163.52</v>
      </c>
      <c r="BP11" s="4">
        <v>0</v>
      </c>
      <c r="BQ11" s="211">
        <v>20528</v>
      </c>
      <c r="BR11" s="4">
        <f t="shared" ca="1" si="29"/>
        <v>180600</v>
      </c>
      <c r="BS11" s="4">
        <f t="shared" ca="1" si="30"/>
        <v>54551.98000000001</v>
      </c>
      <c r="BT11" s="4">
        <f ca="1">SUMIF(норм2016!$Q$11:$AR$76,$C11,норм2016!$BE$11:$BE$76)</f>
        <v>235151.98</v>
      </c>
      <c r="BU11" s="4">
        <f ca="1">SUMIF(норм2016!$Q$11:$AR$76,$C11,норм2016!$BF$11:$BF$76)</f>
        <v>27074.57</v>
      </c>
      <c r="BV11" s="4">
        <f t="shared" ca="1" si="31"/>
        <v>262226.55</v>
      </c>
      <c r="BW11" s="4">
        <f t="shared" ref="BW11:BW41" ca="1" si="69">AE11-BO11-BV11</f>
        <v>745932.60999999987</v>
      </c>
      <c r="BX11" s="211">
        <v>8613.6</v>
      </c>
      <c r="BY11" s="211"/>
      <c r="BZ11" s="211">
        <v>19737.599999999999</v>
      </c>
      <c r="CA11" s="211">
        <v>3612</v>
      </c>
      <c r="CB11" s="211">
        <v>19576</v>
      </c>
      <c r="CC11" s="211"/>
      <c r="CD11" s="115">
        <f>20528-20528</f>
        <v>0</v>
      </c>
      <c r="CE11" s="211">
        <v>2700</v>
      </c>
      <c r="CF11" s="4">
        <f t="shared" ref="CF11:CF41" si="70">SUM(BX11:CE11)</f>
        <v>54239.199999999997</v>
      </c>
      <c r="CG11" s="211">
        <v>58230.839999999967</v>
      </c>
      <c r="CH11" s="4">
        <f t="shared" ca="1" si="32"/>
        <v>691693.40999999992</v>
      </c>
      <c r="CI11" s="211">
        <f t="shared" ref="CI11:CI41" ca="1" si="71">ROUND(CK11/1.302,-2)</f>
        <v>486500</v>
      </c>
      <c r="CJ11" s="4">
        <f t="shared" ref="CJ11:CJ41" ca="1" si="72">CK11-CI11</f>
        <v>146962.56999999995</v>
      </c>
      <c r="CK11" s="211">
        <f ca="1">ROUND(SUMIF(норм2016!$Q$11:$AR$76,$C11,норм2016!$BG$11:$BG$76),2)</f>
        <v>633462.56999999995</v>
      </c>
      <c r="CL11" s="211">
        <f t="shared" ref="CL11:CL41" ca="1" si="73">CH11-CK11-CG11</f>
        <v>0</v>
      </c>
      <c r="CM11" s="4">
        <f t="shared" ca="1" si="35"/>
        <v>1106217.04</v>
      </c>
      <c r="CN11" s="4">
        <f t="shared" ca="1" si="36"/>
        <v>334538.20000000007</v>
      </c>
      <c r="CO11" s="4">
        <f t="shared" ca="1" si="37"/>
        <v>1440755.2400000002</v>
      </c>
      <c r="CP11" s="4">
        <f t="shared" ca="1" si="38"/>
        <v>5961317.04</v>
      </c>
      <c r="CQ11" s="4">
        <f t="shared" ca="1" si="39"/>
        <v>1800317.75</v>
      </c>
      <c r="CR11" s="4">
        <f t="shared" ref="CR11:CR41" ca="1" si="74">SUM(CP11:CQ11)</f>
        <v>7761634.79</v>
      </c>
      <c r="CS11" s="4">
        <f t="shared" ref="CS11:CS41" ca="1" si="75">N11+O11</f>
        <v>5452265</v>
      </c>
      <c r="CT11" s="4">
        <f t="shared" ca="1" si="40"/>
        <v>0</v>
      </c>
      <c r="CU11" s="4">
        <f t="shared" si="41"/>
        <v>0</v>
      </c>
      <c r="CV11" s="4">
        <f t="shared" ref="CV11:CV41" ca="1" si="76">BO11+BV11+CG11+CK11+CF11</f>
        <v>1907322.68</v>
      </c>
      <c r="CW11" s="93">
        <f t="shared" ref="CW11:CW41" ca="1" si="77">SUM(CS11:CV11)</f>
        <v>7359587.6799999997</v>
      </c>
      <c r="CX11" s="4">
        <f t="shared" ca="1" si="42"/>
        <v>0</v>
      </c>
      <c r="CY11" s="4">
        <f t="shared" ca="1" si="43"/>
        <v>0</v>
      </c>
      <c r="CZ11" s="4">
        <f t="shared" ref="CZ11:CZ41" ca="1" si="78">SUM(CX11:CY11)</f>
        <v>0</v>
      </c>
      <c r="DA11" s="216">
        <f t="shared" ca="1" si="44"/>
        <v>7359587.6799999997</v>
      </c>
      <c r="DB11" s="4">
        <f t="shared" ca="1" si="45"/>
        <v>0</v>
      </c>
      <c r="DC11" s="211">
        <f t="shared" ca="1" si="46"/>
        <v>8800342.9199999999</v>
      </c>
      <c r="DE11" s="4"/>
      <c r="DF11" s="4"/>
      <c r="DG11" s="4"/>
      <c r="DH11" s="4"/>
      <c r="DI11" s="4"/>
      <c r="DJ11" s="4"/>
      <c r="DK11" s="4">
        <f t="shared" ref="DK11:DK41" ca="1" si="79">BC11</f>
        <v>120492.11</v>
      </c>
      <c r="DL11" s="4">
        <v>0</v>
      </c>
      <c r="DM11" s="4">
        <f t="shared" ref="DM11:DM41" si="80">BP11</f>
        <v>0</v>
      </c>
      <c r="DN11" s="211">
        <f t="shared" ref="DN11:DN41" si="81">BQ11</f>
        <v>20528</v>
      </c>
      <c r="DO11" s="218">
        <f t="shared" ref="DO11:DO41" ca="1" si="82">SUM(DI11:DN11)</f>
        <v>141020.10999999999</v>
      </c>
      <c r="DP11" s="219">
        <f t="shared" ref="DP11:DP41" ca="1" si="83">DC11+DO11</f>
        <v>8941363.0299999993</v>
      </c>
      <c r="DQ11" s="8" t="s">
        <v>107</v>
      </c>
      <c r="EA11" s="1" t="s">
        <v>363</v>
      </c>
      <c r="EB11" s="10">
        <v>675674.81</v>
      </c>
      <c r="EC11" s="223">
        <v>0</v>
      </c>
    </row>
    <row r="12" spans="1:133">
      <c r="A12" s="12">
        <v>3</v>
      </c>
      <c r="B12" s="3" t="s">
        <v>48</v>
      </c>
      <c r="C12" s="12" t="s">
        <v>186</v>
      </c>
      <c r="D12" s="102"/>
      <c r="E12" s="102"/>
      <c r="F12" s="102"/>
      <c r="G12" s="4">
        <v>1028218.3799999997</v>
      </c>
      <c r="H12" s="211">
        <v>1046395.1999999998</v>
      </c>
      <c r="I12" s="4">
        <f t="shared" si="47"/>
        <v>12556742.399999999</v>
      </c>
      <c r="J12" s="4">
        <f t="shared" si="19"/>
        <v>3792136.2</v>
      </c>
      <c r="K12" s="4">
        <f t="shared" si="20"/>
        <v>16348878.599999998</v>
      </c>
      <c r="L12" s="4">
        <f ca="1">SUMIF(норм2016!$Q$11:$AR$76,C12,норм2016!$AX$11:$AX$76)</f>
        <v>11546718</v>
      </c>
      <c r="M12" s="4">
        <f ca="1">SUMIF(норм2016!$Q$11:$AR$76,$C12,норм2016!$AY$11:$AY$76)</f>
        <v>11546718</v>
      </c>
      <c r="N12" s="4">
        <f t="shared" ca="1" si="21"/>
        <v>8868000</v>
      </c>
      <c r="O12" s="4">
        <f t="shared" ca="1" si="22"/>
        <v>2678718</v>
      </c>
      <c r="P12" s="4">
        <f t="shared" ca="1" si="48"/>
        <v>11546718</v>
      </c>
      <c r="Q12" s="2"/>
      <c r="R12" s="2"/>
      <c r="S12" s="2"/>
      <c r="T12" s="2"/>
      <c r="U12" s="4">
        <f t="shared" ca="1" si="23"/>
        <v>3403742.3999999985</v>
      </c>
      <c r="V12" s="4">
        <f t="shared" ca="1" si="24"/>
        <v>1027319.1400000001</v>
      </c>
      <c r="W12" s="4">
        <f t="shared" ca="1" si="25"/>
        <v>4431061.5399999991</v>
      </c>
      <c r="X12" s="4">
        <f ca="1">SUMIF(норм2016!$Q$11:$AR$76,$C12,норм2016!$AZ$11:$AZ$76)</f>
        <v>0</v>
      </c>
      <c r="Y12" s="4">
        <f t="shared" ca="1" si="49"/>
        <v>0</v>
      </c>
      <c r="Z12" s="4">
        <f t="shared" ca="1" si="50"/>
        <v>0</v>
      </c>
      <c r="AA12" s="4">
        <f t="shared" ca="1" si="26"/>
        <v>0</v>
      </c>
      <c r="AB12" s="211">
        <f t="shared" ca="1" si="51"/>
        <v>3403742.4</v>
      </c>
      <c r="AC12" s="4">
        <f t="shared" ca="1" si="52"/>
        <v>1027319.1400000001</v>
      </c>
      <c r="AD12" s="4">
        <f t="shared" ca="1" si="27"/>
        <v>4431061.54</v>
      </c>
      <c r="AE12" s="4">
        <f ca="1">SUMIF(норм2016!$Q$11:$AR$76,$C12,норм2016!$BC$11:$BC$76)</f>
        <v>4019507.87</v>
      </c>
      <c r="AF12" s="4">
        <f ca="1">SUMIF(норм2016!$Q$11:$AR$76,$C12,норм2016!$BM$11:$BM$76)</f>
        <v>2501069.02</v>
      </c>
      <c r="AG12" s="4">
        <v>825000</v>
      </c>
      <c r="AH12" s="211">
        <v>1568416.62</v>
      </c>
      <c r="AI12" s="4">
        <f>SUMIF(газ!$G$71:$G$147,C12,газ!$J$71:$J$147)*1000</f>
        <v>101851.09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f t="shared" si="53"/>
        <v>2495267.71</v>
      </c>
      <c r="AR12" s="211">
        <f t="shared" ca="1" si="54"/>
        <v>5801.31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211">
        <f t="shared" si="56"/>
        <v>0</v>
      </c>
      <c r="BD12" s="4">
        <f t="shared" ca="1" si="57"/>
        <v>5801.31</v>
      </c>
      <c r="BE12" s="4">
        <f t="shared" si="58"/>
        <v>825000</v>
      </c>
      <c r="BF12" s="4">
        <f t="shared" si="59"/>
        <v>1568416.62</v>
      </c>
      <c r="BG12" s="4">
        <f t="shared" si="60"/>
        <v>101851.09</v>
      </c>
      <c r="BH12" s="4">
        <f t="shared" si="61"/>
        <v>0</v>
      </c>
      <c r="BI12" s="4">
        <f t="shared" si="62"/>
        <v>0</v>
      </c>
      <c r="BJ12" s="4">
        <f t="shared" si="63"/>
        <v>0</v>
      </c>
      <c r="BK12" s="4">
        <f t="shared" si="64"/>
        <v>0</v>
      </c>
      <c r="BL12" s="4">
        <f t="shared" si="65"/>
        <v>0</v>
      </c>
      <c r="BM12" s="4">
        <f t="shared" si="66"/>
        <v>0</v>
      </c>
      <c r="BN12" s="4">
        <f t="shared" si="67"/>
        <v>0</v>
      </c>
      <c r="BO12" s="4">
        <f t="shared" si="68"/>
        <v>2495267.71</v>
      </c>
      <c r="BP12" s="4">
        <v>0</v>
      </c>
      <c r="BQ12" s="211"/>
      <c r="BR12" s="4">
        <f t="shared" ca="1" si="29"/>
        <v>285000</v>
      </c>
      <c r="BS12" s="4">
        <f t="shared" ca="1" si="30"/>
        <v>86099.06</v>
      </c>
      <c r="BT12" s="4">
        <f ca="1">SUMIF(норм2016!$Q$11:$AR$76,$C12,норм2016!$BE$11:$BE$76)</f>
        <v>371099.06</v>
      </c>
      <c r="BU12" s="4">
        <f ca="1">SUMIF(норм2016!$Q$11:$AR$76,$C12,норм2016!$BF$11:$BF$76)</f>
        <v>58857.75</v>
      </c>
      <c r="BV12" s="4">
        <f t="shared" ca="1" si="31"/>
        <v>429956.81</v>
      </c>
      <c r="BW12" s="4">
        <f t="shared" ca="1" si="69"/>
        <v>1094283.3500000001</v>
      </c>
      <c r="BX12" s="211"/>
      <c r="BY12" s="211"/>
      <c r="BZ12" s="211">
        <v>48639.6</v>
      </c>
      <c r="CA12" s="211">
        <v>3864</v>
      </c>
      <c r="CB12" s="211">
        <v>21889</v>
      </c>
      <c r="CC12" s="211"/>
      <c r="CD12" s="211">
        <v>11088</v>
      </c>
      <c r="CE12" s="211">
        <v>2700</v>
      </c>
      <c r="CF12" s="4">
        <f t="shared" si="70"/>
        <v>88180.6</v>
      </c>
      <c r="CG12" s="211">
        <v>199088.79000000015</v>
      </c>
      <c r="CH12" s="4">
        <f t="shared" ca="1" si="32"/>
        <v>1006102.7500000001</v>
      </c>
      <c r="CI12" s="211">
        <f t="shared" ca="1" si="71"/>
        <v>619800</v>
      </c>
      <c r="CJ12" s="4">
        <f t="shared" ca="1" si="72"/>
        <v>187213.95999999996</v>
      </c>
      <c r="CK12" s="211">
        <f ca="1">ROUND(SUMIF(норм2016!$Q$11:$AR$76,$C12,норм2016!$BG$11:$BG$76),2)</f>
        <v>807013.96</v>
      </c>
      <c r="CL12" s="211">
        <f t="shared" ca="1" si="73"/>
        <v>0</v>
      </c>
      <c r="CM12" s="4">
        <f t="shared" ca="1" si="35"/>
        <v>2783942.4</v>
      </c>
      <c r="CN12" s="4">
        <f t="shared" ca="1" si="36"/>
        <v>840105.18000000017</v>
      </c>
      <c r="CO12" s="4">
        <f t="shared" ca="1" si="37"/>
        <v>3624047.58</v>
      </c>
      <c r="CP12" s="4">
        <f t="shared" ca="1" si="38"/>
        <v>12556742.4</v>
      </c>
      <c r="CQ12" s="4">
        <f t="shared" ca="1" si="39"/>
        <v>3792136.2</v>
      </c>
      <c r="CR12" s="4">
        <f t="shared" ca="1" si="74"/>
        <v>16348878.600000001</v>
      </c>
      <c r="CS12" s="4">
        <f t="shared" ca="1" si="75"/>
        <v>11546718</v>
      </c>
      <c r="CT12" s="4">
        <f t="shared" ca="1" si="40"/>
        <v>0</v>
      </c>
      <c r="CU12" s="4">
        <f t="shared" si="41"/>
        <v>0</v>
      </c>
      <c r="CV12" s="4">
        <f t="shared" ca="1" si="76"/>
        <v>4019507.87</v>
      </c>
      <c r="CW12" s="93">
        <f t="shared" ca="1" si="77"/>
        <v>15566225.870000001</v>
      </c>
      <c r="CX12" s="4">
        <f t="shared" ca="1" si="42"/>
        <v>0</v>
      </c>
      <c r="CY12" s="4">
        <f t="shared" ca="1" si="43"/>
        <v>0</v>
      </c>
      <c r="CZ12" s="4">
        <f t="shared" ca="1" si="78"/>
        <v>0</v>
      </c>
      <c r="DA12" s="216">
        <f t="shared" ca="1" si="44"/>
        <v>15566225.870000001</v>
      </c>
      <c r="DB12" s="4">
        <f t="shared" ca="1" si="45"/>
        <v>0</v>
      </c>
      <c r="DC12" s="211">
        <f t="shared" ca="1" si="46"/>
        <v>19190273.450000003</v>
      </c>
      <c r="DE12" s="4"/>
      <c r="DF12" s="4"/>
      <c r="DG12" s="4"/>
      <c r="DH12" s="4"/>
      <c r="DI12" s="4"/>
      <c r="DJ12" s="4"/>
      <c r="DK12" s="4">
        <f t="shared" si="79"/>
        <v>0</v>
      </c>
      <c r="DL12" s="4">
        <v>0</v>
      </c>
      <c r="DM12" s="4">
        <f t="shared" si="80"/>
        <v>0</v>
      </c>
      <c r="DN12" s="211">
        <f t="shared" si="81"/>
        <v>0</v>
      </c>
      <c r="DO12" s="218">
        <f t="shared" si="82"/>
        <v>0</v>
      </c>
      <c r="DP12" s="219">
        <f t="shared" ca="1" si="83"/>
        <v>19190273.450000003</v>
      </c>
      <c r="DQ12" s="8" t="s">
        <v>105</v>
      </c>
      <c r="EA12" s="1" t="s">
        <v>363</v>
      </c>
      <c r="EB12" s="10">
        <v>1568416.62</v>
      </c>
      <c r="EC12" s="223">
        <v>0</v>
      </c>
    </row>
    <row r="13" spans="1:133">
      <c r="A13" s="12">
        <v>4</v>
      </c>
      <c r="B13" s="3" t="s">
        <v>49</v>
      </c>
      <c r="C13" s="12" t="s">
        <v>187</v>
      </c>
      <c r="D13" s="102"/>
      <c r="E13" s="102"/>
      <c r="F13" s="102"/>
      <c r="G13" s="4">
        <v>1839879.1199999996</v>
      </c>
      <c r="H13" s="211">
        <v>1809629.6599999995</v>
      </c>
      <c r="I13" s="4">
        <f t="shared" si="47"/>
        <v>21715555.919999994</v>
      </c>
      <c r="J13" s="4">
        <f t="shared" si="19"/>
        <v>6558097.8899999997</v>
      </c>
      <c r="K13" s="4">
        <f t="shared" si="20"/>
        <v>28273653.809999995</v>
      </c>
      <c r="L13" s="4">
        <f ca="1">SUMIF(норм2016!$Q$11:$AR$76,C13,норм2016!$AX$11:$AX$76)</f>
        <v>22591491</v>
      </c>
      <c r="M13" s="4">
        <f ca="1">SUMIF(норм2016!$Q$11:$AR$76,$C13,норм2016!$AY$11:$AY$76)</f>
        <v>21077745</v>
      </c>
      <c r="N13" s="4">
        <f t="shared" ca="1" si="21"/>
        <v>16189000</v>
      </c>
      <c r="O13" s="4">
        <f t="shared" ca="1" si="22"/>
        <v>4888745</v>
      </c>
      <c r="P13" s="4">
        <f t="shared" ca="1" si="48"/>
        <v>21077745</v>
      </c>
      <c r="Q13" s="2"/>
      <c r="R13" s="2"/>
      <c r="S13" s="2"/>
      <c r="T13" s="2"/>
      <c r="U13" s="4">
        <f t="shared" ca="1" si="23"/>
        <v>5019555.9199999943</v>
      </c>
      <c r="V13" s="4">
        <f t="shared" ca="1" si="24"/>
        <v>1516209.6699999997</v>
      </c>
      <c r="W13" s="4">
        <f t="shared" ca="1" si="25"/>
        <v>6535765.5899999943</v>
      </c>
      <c r="X13" s="4">
        <f ca="1">SUMIF(норм2016!$Q$11:$AR$76,$C13,норм2016!$AZ$11:$AZ$76)</f>
        <v>1513746</v>
      </c>
      <c r="Y13" s="4">
        <f t="shared" ca="1" si="49"/>
        <v>1163000</v>
      </c>
      <c r="Z13" s="4">
        <f t="shared" ca="1" si="50"/>
        <v>350746</v>
      </c>
      <c r="AA13" s="4">
        <f t="shared" ca="1" si="26"/>
        <v>1513746</v>
      </c>
      <c r="AB13" s="211">
        <f t="shared" ca="1" si="51"/>
        <v>3856555.92</v>
      </c>
      <c r="AC13" s="4">
        <f t="shared" ca="1" si="52"/>
        <v>1165463.6699999997</v>
      </c>
      <c r="AD13" s="4">
        <f t="shared" ca="1" si="27"/>
        <v>5022019.59</v>
      </c>
      <c r="AE13" s="4">
        <f ca="1">SUMIF(норм2016!$Q$11:$AR$76,$C13,норм2016!$BC$11:$BC$76)</f>
        <v>4866238.57</v>
      </c>
      <c r="AF13" s="4">
        <f ca="1">SUMIF(норм2016!$Q$11:$AR$76,$C13,норм2016!$BM$11:$BM$76)</f>
        <v>1975654.9</v>
      </c>
      <c r="AG13" s="4">
        <v>368500</v>
      </c>
      <c r="AH13" s="211">
        <v>1404901.69</v>
      </c>
      <c r="AI13" s="4">
        <f>SUMIF(газ!$G$71:$G$147,C13,газ!$J$71:$J$147)*1000</f>
        <v>237365.79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f t="shared" si="53"/>
        <v>2010767.48</v>
      </c>
      <c r="AR13" s="211">
        <f t="shared" ca="1" si="54"/>
        <v>-35112.58</v>
      </c>
      <c r="AS13" s="4"/>
      <c r="AT13" s="4">
        <f t="shared" ca="1" si="55"/>
        <v>35112.58</v>
      </c>
      <c r="AU13" s="4"/>
      <c r="AV13" s="4"/>
      <c r="AW13" s="4"/>
      <c r="AX13" s="4"/>
      <c r="AY13" s="4"/>
      <c r="AZ13" s="4"/>
      <c r="BA13" s="4"/>
      <c r="BB13" s="4"/>
      <c r="BC13" s="211">
        <f t="shared" ca="1" si="56"/>
        <v>35112.58</v>
      </c>
      <c r="BD13" s="4">
        <f t="shared" ca="1" si="57"/>
        <v>0</v>
      </c>
      <c r="BE13" s="4">
        <f t="shared" si="58"/>
        <v>368500</v>
      </c>
      <c r="BF13" s="4">
        <f t="shared" ca="1" si="59"/>
        <v>1369789.1099999999</v>
      </c>
      <c r="BG13" s="4">
        <f t="shared" si="60"/>
        <v>237365.79</v>
      </c>
      <c r="BH13" s="4">
        <f t="shared" si="61"/>
        <v>0</v>
      </c>
      <c r="BI13" s="4">
        <f t="shared" si="62"/>
        <v>0</v>
      </c>
      <c r="BJ13" s="4">
        <f t="shared" si="63"/>
        <v>0</v>
      </c>
      <c r="BK13" s="4">
        <f t="shared" si="64"/>
        <v>0</v>
      </c>
      <c r="BL13" s="4">
        <f t="shared" si="65"/>
        <v>0</v>
      </c>
      <c r="BM13" s="4">
        <f t="shared" si="66"/>
        <v>0</v>
      </c>
      <c r="BN13" s="4">
        <f t="shared" si="67"/>
        <v>0</v>
      </c>
      <c r="BO13" s="4">
        <f t="shared" ca="1" si="68"/>
        <v>1975654.9</v>
      </c>
      <c r="BP13" s="4">
        <v>0</v>
      </c>
      <c r="BQ13" s="211">
        <v>320000</v>
      </c>
      <c r="BR13" s="4">
        <f t="shared" ca="1" si="29"/>
        <v>507000</v>
      </c>
      <c r="BS13" s="4">
        <f t="shared" ca="1" si="30"/>
        <v>153143.21999999997</v>
      </c>
      <c r="BT13" s="4">
        <f ca="1">SUMIF(норм2016!$Q$11:$AR$76,$C13,норм2016!$BE$11:$BE$76)</f>
        <v>660143.22</v>
      </c>
      <c r="BU13" s="4">
        <f ca="1">SUMIF(норм2016!$Q$11:$AR$76,$C13,норм2016!$BF$11:$BF$76)</f>
        <v>58857.75</v>
      </c>
      <c r="BV13" s="4">
        <f t="shared" ca="1" si="31"/>
        <v>719000.97</v>
      </c>
      <c r="BW13" s="4">
        <f t="shared" ca="1" si="69"/>
        <v>2171582.7000000002</v>
      </c>
      <c r="BX13" s="211">
        <v>8613.6</v>
      </c>
      <c r="BY13" s="211"/>
      <c r="BZ13" s="211">
        <v>49929.599999999999</v>
      </c>
      <c r="CA13" s="211">
        <v>32946.480000000003</v>
      </c>
      <c r="CB13" s="211">
        <v>31921</v>
      </c>
      <c r="CC13" s="211"/>
      <c r="CD13" s="211">
        <f>349095-320000</f>
        <v>29095</v>
      </c>
      <c r="CE13" s="211">
        <v>9000</v>
      </c>
      <c r="CF13" s="4">
        <f t="shared" si="70"/>
        <v>161505.68</v>
      </c>
      <c r="CG13" s="211">
        <v>127044.41000000015</v>
      </c>
      <c r="CH13" s="4">
        <f t="shared" ca="1" si="32"/>
        <v>2010077.0200000003</v>
      </c>
      <c r="CI13" s="211">
        <f t="shared" ref="CI13" ca="1" si="84">ROUND(CK13/1.302,-2)</f>
        <v>1446300</v>
      </c>
      <c r="CJ13" s="211">
        <f t="shared" ref="CJ13" ca="1" si="85">CK13-CI13</f>
        <v>436732.6100000001</v>
      </c>
      <c r="CK13" s="211">
        <f ca="1">ROUND(SUMIF(норм2016!$Q$11:$AR$76,$C13,норм2016!$BG$11:$BG$76),2)</f>
        <v>1883032.61</v>
      </c>
      <c r="CL13" s="211">
        <f t="shared" ca="1" si="73"/>
        <v>0</v>
      </c>
      <c r="CM13" s="4">
        <f t="shared" ca="1" si="35"/>
        <v>2410255.92</v>
      </c>
      <c r="CN13" s="4">
        <f t="shared" ca="1" si="36"/>
        <v>728731.05999999959</v>
      </c>
      <c r="CO13" s="4">
        <f t="shared" ca="1" si="37"/>
        <v>3138986.9799999995</v>
      </c>
      <c r="CP13" s="4">
        <f t="shared" ca="1" si="38"/>
        <v>21715555.920000002</v>
      </c>
      <c r="CQ13" s="4">
        <f t="shared" ca="1" si="39"/>
        <v>6558097.8899999997</v>
      </c>
      <c r="CR13" s="4">
        <f t="shared" ca="1" si="74"/>
        <v>28273653.810000002</v>
      </c>
      <c r="CS13" s="4">
        <f t="shared" ca="1" si="75"/>
        <v>21077745</v>
      </c>
      <c r="CT13" s="4">
        <f t="shared" ca="1" si="40"/>
        <v>1513746</v>
      </c>
      <c r="CU13" s="4">
        <f t="shared" si="41"/>
        <v>0</v>
      </c>
      <c r="CV13" s="4">
        <f t="shared" ca="1" si="76"/>
        <v>4866238.57</v>
      </c>
      <c r="CW13" s="93">
        <f t="shared" ca="1" si="77"/>
        <v>27457729.57</v>
      </c>
      <c r="CX13" s="4">
        <f t="shared" ca="1" si="42"/>
        <v>0</v>
      </c>
      <c r="CY13" s="4">
        <f t="shared" ca="1" si="43"/>
        <v>0</v>
      </c>
      <c r="CZ13" s="4">
        <f t="shared" ca="1" si="78"/>
        <v>0</v>
      </c>
      <c r="DA13" s="216">
        <f t="shared" ca="1" si="44"/>
        <v>27457729.57</v>
      </c>
      <c r="DB13" s="4">
        <f t="shared" ca="1" si="45"/>
        <v>0</v>
      </c>
      <c r="DC13" s="211">
        <f t="shared" ca="1" si="46"/>
        <v>30596716.550000001</v>
      </c>
      <c r="DE13" s="4"/>
      <c r="DF13" s="4"/>
      <c r="DG13" s="4"/>
      <c r="DH13" s="4"/>
      <c r="DI13" s="4"/>
      <c r="DJ13" s="4"/>
      <c r="DK13" s="4">
        <f t="shared" ca="1" si="79"/>
        <v>35112.58</v>
      </c>
      <c r="DL13" s="4">
        <v>0</v>
      </c>
      <c r="DM13" s="4">
        <f t="shared" si="80"/>
        <v>0</v>
      </c>
      <c r="DN13" s="211">
        <f t="shared" si="81"/>
        <v>320000</v>
      </c>
      <c r="DO13" s="218">
        <f t="shared" ca="1" si="82"/>
        <v>355112.58</v>
      </c>
      <c r="DP13" s="219">
        <f t="shared" ca="1" si="83"/>
        <v>30951829.129999999</v>
      </c>
      <c r="DQ13" s="8" t="s">
        <v>123</v>
      </c>
      <c r="EA13" s="1" t="s">
        <v>363</v>
      </c>
      <c r="EB13" s="10">
        <v>1404901.69</v>
      </c>
      <c r="EC13" s="223">
        <v>0</v>
      </c>
    </row>
    <row r="14" spans="1:133">
      <c r="A14" s="12">
        <v>5</v>
      </c>
      <c r="B14" s="3" t="s">
        <v>59</v>
      </c>
      <c r="C14" s="12" t="s">
        <v>189</v>
      </c>
      <c r="D14" s="102"/>
      <c r="E14" s="102"/>
      <c r="F14" s="102"/>
      <c r="G14" s="4">
        <v>474976.29000000027</v>
      </c>
      <c r="H14" s="211">
        <v>465854.77999999997</v>
      </c>
      <c r="I14" s="4">
        <f t="shared" si="47"/>
        <v>5590257.3599999994</v>
      </c>
      <c r="J14" s="4">
        <f t="shared" si="19"/>
        <v>1688257.72</v>
      </c>
      <c r="K14" s="4">
        <f t="shared" si="20"/>
        <v>7278515.0799999991</v>
      </c>
      <c r="L14" s="4">
        <f ca="1">SUMIF(норм2016!$Q$11:$AR$76,C14,норм2016!$AX$11:$AX$76)</f>
        <v>5408630</v>
      </c>
      <c r="M14" s="4">
        <f ca="1">SUMIF(норм2016!$Q$11:$AR$76,$C14,норм2016!$AY$11:$AY$76)</f>
        <v>3172808</v>
      </c>
      <c r="N14" s="4">
        <f t="shared" ca="1" si="21"/>
        <v>2437000</v>
      </c>
      <c r="O14" s="4">
        <f t="shared" ca="1" si="22"/>
        <v>735808</v>
      </c>
      <c r="P14" s="4">
        <f t="shared" ca="1" si="48"/>
        <v>3172808</v>
      </c>
      <c r="Q14" s="2"/>
      <c r="R14" s="2"/>
      <c r="S14" s="2"/>
      <c r="T14" s="2"/>
      <c r="U14" s="4">
        <f t="shared" ca="1" si="23"/>
        <v>3011957.3599999994</v>
      </c>
      <c r="V14" s="4">
        <f t="shared" ca="1" si="24"/>
        <v>909740.87</v>
      </c>
      <c r="W14" s="4">
        <f t="shared" ca="1" si="25"/>
        <v>3921698.2299999995</v>
      </c>
      <c r="X14" s="4">
        <f ca="1">SUMIF(норм2016!$Q$11:$AR$76,$C14,норм2016!$AZ$11:$AZ$76)</f>
        <v>2235822</v>
      </c>
      <c r="Y14" s="4">
        <f t="shared" ca="1" si="49"/>
        <v>1717000</v>
      </c>
      <c r="Z14" s="4">
        <f t="shared" ca="1" si="50"/>
        <v>518822</v>
      </c>
      <c r="AA14" s="4">
        <f t="shared" ca="1" si="26"/>
        <v>2235822</v>
      </c>
      <c r="AB14" s="211">
        <f t="shared" ca="1" si="51"/>
        <v>1294957.3600000001</v>
      </c>
      <c r="AC14" s="4">
        <f t="shared" ca="1" si="52"/>
        <v>390918.87</v>
      </c>
      <c r="AD14" s="4">
        <f t="shared" ca="1" si="27"/>
        <v>1685876.23</v>
      </c>
      <c r="AE14" s="4">
        <f ca="1">SUMIF(норм2016!$Q$11:$AR$76,$C14,норм2016!$BC$11:$BC$76)</f>
        <v>2283751.6800000002</v>
      </c>
      <c r="AF14" s="4">
        <f ca="1">SUMIF(норм2016!$Q$11:$AR$76,$C14,норм2016!$BM$11:$BM$76)</f>
        <v>1386674.63</v>
      </c>
      <c r="AG14" s="4">
        <v>192500</v>
      </c>
      <c r="AH14" s="211">
        <v>1102936.1399999999</v>
      </c>
      <c r="AI14" s="4">
        <f>SUMIF(газ!$G$71:$G$147,C14,газ!$J$71:$J$147)*1000</f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f t="shared" si="53"/>
        <v>1295436.1399999999</v>
      </c>
      <c r="AR14" s="211">
        <f t="shared" ca="1" si="54"/>
        <v>91238.49</v>
      </c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211">
        <f t="shared" si="56"/>
        <v>0</v>
      </c>
      <c r="BD14" s="4">
        <f t="shared" ca="1" si="57"/>
        <v>91238.49</v>
      </c>
      <c r="BE14" s="4">
        <f t="shared" si="58"/>
        <v>192500</v>
      </c>
      <c r="BF14" s="4">
        <f t="shared" si="59"/>
        <v>1102936.1399999999</v>
      </c>
      <c r="BG14" s="4">
        <f t="shared" si="60"/>
        <v>0</v>
      </c>
      <c r="BH14" s="4">
        <f t="shared" si="61"/>
        <v>0</v>
      </c>
      <c r="BI14" s="4">
        <f t="shared" si="62"/>
        <v>0</v>
      </c>
      <c r="BJ14" s="4">
        <f t="shared" si="63"/>
        <v>0</v>
      </c>
      <c r="BK14" s="4">
        <f t="shared" si="64"/>
        <v>0</v>
      </c>
      <c r="BL14" s="4">
        <f t="shared" si="65"/>
        <v>0</v>
      </c>
      <c r="BM14" s="4">
        <f t="shared" si="66"/>
        <v>0</v>
      </c>
      <c r="BN14" s="4">
        <f t="shared" si="67"/>
        <v>0</v>
      </c>
      <c r="BO14" s="4">
        <f t="shared" si="68"/>
        <v>1295436.1399999999</v>
      </c>
      <c r="BP14" s="4">
        <v>0</v>
      </c>
      <c r="BQ14" s="211"/>
      <c r="BR14" s="4">
        <f t="shared" ca="1" si="29"/>
        <v>141300</v>
      </c>
      <c r="BS14" s="4">
        <f t="shared" ca="1" si="30"/>
        <v>42708.850000000006</v>
      </c>
      <c r="BT14" s="4">
        <f ca="1">SUMIF(норм2016!$Q$11:$AR$76,$C14,норм2016!$BE$11:$BE$76)</f>
        <v>184008.85</v>
      </c>
      <c r="BU14" s="4">
        <f ca="1">SUMIF(норм2016!$Q$11:$AR$76,$C14,норм2016!$BF$11:$BF$76)</f>
        <v>24720.26</v>
      </c>
      <c r="BV14" s="4">
        <f t="shared" ca="1" si="31"/>
        <v>208729.11000000002</v>
      </c>
      <c r="BW14" s="4">
        <f t="shared" ca="1" si="69"/>
        <v>779586.43000000028</v>
      </c>
      <c r="BX14" s="211"/>
      <c r="BY14" s="211"/>
      <c r="BZ14" s="211">
        <v>9841.2000000000007</v>
      </c>
      <c r="CA14" s="211">
        <v>22714.44</v>
      </c>
      <c r="CB14" s="211">
        <v>13142</v>
      </c>
      <c r="CC14" s="211"/>
      <c r="CD14" s="211"/>
      <c r="CE14" s="211">
        <v>28800</v>
      </c>
      <c r="CF14" s="4">
        <f t="shared" si="70"/>
        <v>74497.64</v>
      </c>
      <c r="CG14" s="211">
        <v>158401.91000000027</v>
      </c>
      <c r="CH14" s="4">
        <f t="shared" ca="1" si="32"/>
        <v>705088.79000000027</v>
      </c>
      <c r="CI14" s="211">
        <f t="shared" ca="1" si="71"/>
        <v>419900</v>
      </c>
      <c r="CJ14" s="4">
        <f t="shared" ca="1" si="72"/>
        <v>126786.88</v>
      </c>
      <c r="CK14" s="211">
        <f ca="1">ROUND(SUMIF(норм2016!$Q$11:$AR$76,$C14,норм2016!$BG$11:$BG$76),2)</f>
        <v>546686.88</v>
      </c>
      <c r="CL14" s="211">
        <f t="shared" ca="1" si="73"/>
        <v>0</v>
      </c>
      <c r="CM14" s="4">
        <f t="shared" ca="1" si="35"/>
        <v>875057.3600000001</v>
      </c>
      <c r="CN14" s="4">
        <f t="shared" ca="1" si="36"/>
        <v>264131.99</v>
      </c>
      <c r="CO14" s="4">
        <f t="shared" ca="1" si="37"/>
        <v>1139189.3500000001</v>
      </c>
      <c r="CP14" s="4">
        <f t="shared" ca="1" si="38"/>
        <v>5590257.3600000003</v>
      </c>
      <c r="CQ14" s="4">
        <f t="shared" ca="1" si="39"/>
        <v>1688257.72</v>
      </c>
      <c r="CR14" s="4">
        <f t="shared" ca="1" si="74"/>
        <v>7278515.0800000001</v>
      </c>
      <c r="CS14" s="4">
        <f t="shared" ca="1" si="75"/>
        <v>3172808</v>
      </c>
      <c r="CT14" s="4">
        <f t="shared" ca="1" si="40"/>
        <v>2235822</v>
      </c>
      <c r="CU14" s="4">
        <f t="shared" si="41"/>
        <v>0</v>
      </c>
      <c r="CV14" s="4">
        <f t="shared" ca="1" si="76"/>
        <v>2283751.6800000002</v>
      </c>
      <c r="CW14" s="93">
        <f t="shared" ca="1" si="77"/>
        <v>7692381.6799999997</v>
      </c>
      <c r="CX14" s="4">
        <f t="shared" ca="1" si="42"/>
        <v>0</v>
      </c>
      <c r="CY14" s="4">
        <f t="shared" ca="1" si="43"/>
        <v>0</v>
      </c>
      <c r="CZ14" s="4">
        <f t="shared" ca="1" si="78"/>
        <v>0</v>
      </c>
      <c r="DA14" s="216">
        <f t="shared" ca="1" si="44"/>
        <v>7692381.6799999997</v>
      </c>
      <c r="DB14" s="4">
        <f t="shared" ca="1" si="45"/>
        <v>0</v>
      </c>
      <c r="DC14" s="211">
        <f t="shared" ca="1" si="46"/>
        <v>8831571.0299999993</v>
      </c>
      <c r="DE14" s="4"/>
      <c r="DF14" s="4"/>
      <c r="DG14" s="4"/>
      <c r="DH14" s="4"/>
      <c r="DI14" s="4"/>
      <c r="DJ14" s="4"/>
      <c r="DK14" s="4">
        <f t="shared" si="79"/>
        <v>0</v>
      </c>
      <c r="DL14" s="4">
        <v>0</v>
      </c>
      <c r="DM14" s="4">
        <f t="shared" si="80"/>
        <v>0</v>
      </c>
      <c r="DN14" s="211">
        <f t="shared" si="81"/>
        <v>0</v>
      </c>
      <c r="DO14" s="218">
        <f t="shared" si="82"/>
        <v>0</v>
      </c>
      <c r="DP14" s="219">
        <f t="shared" ca="1" si="83"/>
        <v>8831571.0299999993</v>
      </c>
      <c r="DQ14" s="8" t="s">
        <v>108</v>
      </c>
      <c r="EA14" s="1" t="s">
        <v>363</v>
      </c>
      <c r="EB14" s="10">
        <v>1102936.1399999999</v>
      </c>
      <c r="EC14" s="223">
        <v>0</v>
      </c>
    </row>
    <row r="15" spans="1:133">
      <c r="A15" s="12">
        <v>6</v>
      </c>
      <c r="B15" s="3" t="s">
        <v>77</v>
      </c>
      <c r="C15" s="12" t="s">
        <v>196</v>
      </c>
      <c r="D15" s="102"/>
      <c r="E15" s="102"/>
      <c r="F15" s="102"/>
      <c r="G15" s="4">
        <v>321576.77999999985</v>
      </c>
      <c r="H15" s="211">
        <v>284383.9499999999</v>
      </c>
      <c r="I15" s="4">
        <f t="shared" si="47"/>
        <v>3412607.3999999985</v>
      </c>
      <c r="J15" s="4">
        <f t="shared" si="19"/>
        <v>1030607.43</v>
      </c>
      <c r="K15" s="4">
        <f t="shared" si="20"/>
        <v>4443214.8299999982</v>
      </c>
      <c r="L15" s="4">
        <f ca="1">SUMIF(норм2016!$Q$11:$AR$76,C15,норм2016!$AX$11:$AX$76)</f>
        <v>4323538.8</v>
      </c>
      <c r="M15" s="4">
        <f ca="1">SUMIF(норм2016!$Q$11:$AR$76,$C15,норм2016!$AY$11:$AY$76)</f>
        <v>4323538.8</v>
      </c>
      <c r="N15" s="4">
        <f t="shared" ca="1" si="21"/>
        <v>3321000</v>
      </c>
      <c r="O15" s="4">
        <f t="shared" ca="1" si="22"/>
        <v>1002538.7999999998</v>
      </c>
      <c r="P15" s="4">
        <f t="shared" ca="1" si="48"/>
        <v>4323538.8</v>
      </c>
      <c r="Q15" s="2"/>
      <c r="R15" s="2"/>
      <c r="S15" s="2"/>
      <c r="T15" s="2"/>
      <c r="U15" s="4">
        <f t="shared" ca="1" si="23"/>
        <v>91607.39999999851</v>
      </c>
      <c r="V15" s="4">
        <f t="shared" ca="1" si="24"/>
        <v>28068.630000000237</v>
      </c>
      <c r="W15" s="4">
        <f t="shared" ca="1" si="25"/>
        <v>119676.02999999875</v>
      </c>
      <c r="X15" s="4">
        <f ca="1">SUMIF(норм2016!$Q$11:$AR$76,$C15,норм2016!$AZ$11:$AZ$76)</f>
        <v>0</v>
      </c>
      <c r="Y15" s="4">
        <f t="shared" ref="Y15" ca="1" si="86">ROUND(X15/1.302,-3)</f>
        <v>0</v>
      </c>
      <c r="Z15" s="4">
        <f t="shared" ref="Z15" ca="1" si="87">X15-Y15</f>
        <v>0</v>
      </c>
      <c r="AA15" s="4">
        <f t="shared" ca="1" si="26"/>
        <v>0</v>
      </c>
      <c r="AB15" s="211">
        <f t="shared" ca="1" si="51"/>
        <v>91607.4</v>
      </c>
      <c r="AC15" s="4">
        <f t="shared" ca="1" si="52"/>
        <v>28068.630000000237</v>
      </c>
      <c r="AD15" s="4">
        <f t="shared" ca="1" si="27"/>
        <v>119676.03000000023</v>
      </c>
      <c r="AE15" s="4">
        <f ca="1">SUMIF(норм2016!$Q$11:$AR$76,$C15,норм2016!$BC$11:$BC$76)</f>
        <v>1087456.1299999999</v>
      </c>
      <c r="AF15" s="4">
        <f ca="1">SUMIF(норм2016!$Q$11:$AR$76,$C15,норм2016!$BM$11:$BM$76)</f>
        <v>478644.86</v>
      </c>
      <c r="AG15" s="4">
        <v>82500</v>
      </c>
      <c r="AH15" s="211">
        <v>0</v>
      </c>
      <c r="AI15" s="4">
        <f>SUMIF(газ!$G$71:$G$147,C15,газ!$J$71:$J$147)*1000</f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f t="shared" si="53"/>
        <v>82500</v>
      </c>
      <c r="AR15" s="211">
        <f t="shared" ca="1" si="54"/>
        <v>396144.86</v>
      </c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211">
        <f t="shared" si="56"/>
        <v>0</v>
      </c>
      <c r="BD15" s="4">
        <f t="shared" ca="1" si="57"/>
        <v>396144.86</v>
      </c>
      <c r="BE15" s="4">
        <f t="shared" si="58"/>
        <v>82500</v>
      </c>
      <c r="BF15" s="4">
        <f t="shared" si="59"/>
        <v>0</v>
      </c>
      <c r="BG15" s="4">
        <f t="shared" si="60"/>
        <v>0</v>
      </c>
      <c r="BH15" s="4">
        <f t="shared" si="61"/>
        <v>0</v>
      </c>
      <c r="BI15" s="4">
        <f t="shared" si="62"/>
        <v>0</v>
      </c>
      <c r="BJ15" s="4">
        <f t="shared" si="63"/>
        <v>0</v>
      </c>
      <c r="BK15" s="4">
        <f t="shared" si="64"/>
        <v>0</v>
      </c>
      <c r="BL15" s="4">
        <f t="shared" si="65"/>
        <v>0</v>
      </c>
      <c r="BM15" s="4">
        <f t="shared" si="66"/>
        <v>0</v>
      </c>
      <c r="BN15" s="4">
        <f t="shared" si="67"/>
        <v>0</v>
      </c>
      <c r="BO15" s="4">
        <f t="shared" si="68"/>
        <v>82500</v>
      </c>
      <c r="BP15" s="4">
        <v>0</v>
      </c>
      <c r="BQ15" s="211"/>
      <c r="BR15" s="4">
        <f t="shared" ca="1" si="29"/>
        <v>0</v>
      </c>
      <c r="BS15" s="4">
        <f t="shared" ca="1" si="30"/>
        <v>0</v>
      </c>
      <c r="BT15" s="4">
        <f ca="1">SUMIF(норм2016!$Q$11:$AR$76,$C15,норм2016!$BE$11:$BE$76)</f>
        <v>0</v>
      </c>
      <c r="BU15" s="4">
        <f ca="1">SUMIF(норм2016!$Q$11:$AR$76,$C15,норм2016!$BF$11:$BF$76)</f>
        <v>0</v>
      </c>
      <c r="BV15" s="4">
        <f t="shared" ca="1" si="31"/>
        <v>0</v>
      </c>
      <c r="BW15" s="4">
        <f t="shared" ca="1" si="69"/>
        <v>1004956.1299999999</v>
      </c>
      <c r="BX15" s="211">
        <v>7211.52</v>
      </c>
      <c r="BY15" s="211">
        <v>22440</v>
      </c>
      <c r="BZ15" s="211">
        <v>11115</v>
      </c>
      <c r="CA15" s="211"/>
      <c r="CB15" s="211"/>
      <c r="CC15" s="211">
        <v>4572.24</v>
      </c>
      <c r="CD15" s="211">
        <v>1890</v>
      </c>
      <c r="CE15" s="211">
        <v>7200</v>
      </c>
      <c r="CF15" s="4">
        <f t="shared" si="70"/>
        <v>54428.76</v>
      </c>
      <c r="CG15" s="211">
        <v>830851.33999999985</v>
      </c>
      <c r="CH15" s="4">
        <f t="shared" ca="1" si="32"/>
        <v>950527.36999999988</v>
      </c>
      <c r="CI15" s="211">
        <f ca="1">ROUND(CK15/1.302,-2)-292.6</f>
        <v>91607.4</v>
      </c>
      <c r="CJ15" s="4">
        <f t="shared" ca="1" si="72"/>
        <v>28068.630000000034</v>
      </c>
      <c r="CK15" s="115">
        <f ca="1">ROUND(SUMIF(норм2016!$Q$11:$AR$76,$C15,норм2016!$BG$11:$BG$76),2)-340235.16</f>
        <v>119676.03000000003</v>
      </c>
      <c r="CL15" s="211">
        <f t="shared" ca="1" si="73"/>
        <v>0</v>
      </c>
      <c r="CM15" s="211">
        <f t="shared" ca="1" si="35"/>
        <v>0</v>
      </c>
      <c r="CN15" s="4">
        <f t="shared" ca="1" si="36"/>
        <v>2.0372681319713593E-10</v>
      </c>
      <c r="CO15" s="4">
        <f t="shared" ref="CO15:CO16" ca="1" si="88">SUM(CM15:CN15)</f>
        <v>2.0372681319713593E-10</v>
      </c>
      <c r="CP15" s="4">
        <f t="shared" ca="1" si="38"/>
        <v>3412607.4</v>
      </c>
      <c r="CQ15" s="4">
        <f t="shared" ca="1" si="39"/>
        <v>1030607.43</v>
      </c>
      <c r="CR15" s="4">
        <f t="shared" ca="1" si="74"/>
        <v>4443214.83</v>
      </c>
      <c r="CS15" s="4">
        <f t="shared" ca="1" si="75"/>
        <v>4323538.8</v>
      </c>
      <c r="CT15" s="4">
        <f t="shared" ca="1" si="40"/>
        <v>0</v>
      </c>
      <c r="CU15" s="4">
        <f t="shared" si="41"/>
        <v>0</v>
      </c>
      <c r="CV15" s="4">
        <f t="shared" ca="1" si="76"/>
        <v>1087456.1299999999</v>
      </c>
      <c r="CW15" s="93">
        <f t="shared" ca="1" si="77"/>
        <v>5410994.9299999997</v>
      </c>
      <c r="CX15" s="4">
        <f t="shared" ca="1" si="42"/>
        <v>0</v>
      </c>
      <c r="CY15" s="4">
        <f t="shared" ca="1" si="43"/>
        <v>0</v>
      </c>
      <c r="CZ15" s="4">
        <f t="shared" ca="1" si="78"/>
        <v>0</v>
      </c>
      <c r="DA15" s="216">
        <f t="shared" ca="1" si="44"/>
        <v>5410994.9299999997</v>
      </c>
      <c r="DB15" s="4">
        <f t="shared" ca="1" si="45"/>
        <v>0</v>
      </c>
      <c r="DC15" s="211">
        <f t="shared" ca="1" si="46"/>
        <v>5410994.9299999997</v>
      </c>
      <c r="DE15" s="4"/>
      <c r="DF15" s="4"/>
      <c r="DG15" s="4"/>
      <c r="DH15" s="4"/>
      <c r="DI15" s="4"/>
      <c r="DJ15" s="4"/>
      <c r="DK15" s="4">
        <f t="shared" si="79"/>
        <v>0</v>
      </c>
      <c r="DL15" s="4">
        <v>0</v>
      </c>
      <c r="DM15" s="4">
        <f t="shared" si="80"/>
        <v>0</v>
      </c>
      <c r="DN15" s="211">
        <f t="shared" si="81"/>
        <v>0</v>
      </c>
      <c r="DO15" s="218">
        <f t="shared" si="82"/>
        <v>0</v>
      </c>
      <c r="DP15" s="219">
        <f t="shared" ca="1" si="83"/>
        <v>5410994.9299999997</v>
      </c>
      <c r="DQ15" s="8" t="s">
        <v>94</v>
      </c>
      <c r="EA15" s="1" t="s">
        <v>364</v>
      </c>
      <c r="EB15" s="10">
        <v>0</v>
      </c>
      <c r="EC15" s="223">
        <v>0</v>
      </c>
    </row>
    <row r="16" spans="1:133">
      <c r="A16" s="12">
        <v>7</v>
      </c>
      <c r="B16" s="3" t="s">
        <v>50</v>
      </c>
      <c r="C16" s="12" t="s">
        <v>201</v>
      </c>
      <c r="D16" s="102"/>
      <c r="E16" s="102"/>
      <c r="F16" s="102"/>
      <c r="G16" s="4">
        <v>574749.8200000003</v>
      </c>
      <c r="H16" s="211">
        <v>494686.83999999991</v>
      </c>
      <c r="I16" s="4">
        <f t="shared" si="47"/>
        <v>5936242.0799999991</v>
      </c>
      <c r="J16" s="4">
        <f t="shared" si="19"/>
        <v>1792745.11</v>
      </c>
      <c r="K16" s="4">
        <f t="shared" si="20"/>
        <v>7728987.1899999995</v>
      </c>
      <c r="L16" s="4">
        <f ca="1">SUMIF(норм2016!$Q$11:$AR$76,C16,норм2016!$AX$11:$AX$76)</f>
        <v>6649956.5</v>
      </c>
      <c r="M16" s="4">
        <f ca="1">SUMIF(норм2016!$Q$11:$AR$76,$C16,норм2016!$AY$11:$AY$76)</f>
        <v>4366006</v>
      </c>
      <c r="N16" s="4">
        <f t="shared" ca="1" si="21"/>
        <v>3353000</v>
      </c>
      <c r="O16" s="4">
        <f t="shared" ca="1" si="22"/>
        <v>1013006</v>
      </c>
      <c r="P16" s="4">
        <f t="shared" ca="1" si="48"/>
        <v>4366006</v>
      </c>
      <c r="Q16" s="2"/>
      <c r="R16" s="2"/>
      <c r="S16" s="2"/>
      <c r="T16" s="2"/>
      <c r="U16" s="4">
        <f t="shared" ca="1" si="23"/>
        <v>2369542.0799999991</v>
      </c>
      <c r="V16" s="4">
        <f t="shared" ca="1" si="24"/>
        <v>715247.85000000009</v>
      </c>
      <c r="W16" s="4">
        <f t="shared" ca="1" si="25"/>
        <v>3084789.9299999992</v>
      </c>
      <c r="X16" s="4">
        <f ca="1">SUMIF(норм2016!$Q$11:$AR$76,$C16,норм2016!$AZ$11:$AZ$76)</f>
        <v>2283950.5</v>
      </c>
      <c r="Y16" s="4">
        <f t="shared" ca="1" si="49"/>
        <v>1754000</v>
      </c>
      <c r="Z16" s="4">
        <f t="shared" ca="1" si="50"/>
        <v>529950.5</v>
      </c>
      <c r="AA16" s="4">
        <f t="shared" ca="1" si="26"/>
        <v>2283950.5</v>
      </c>
      <c r="AB16" s="211">
        <f t="shared" ca="1" si="51"/>
        <v>615542.07999999996</v>
      </c>
      <c r="AC16" s="4">
        <f t="shared" ca="1" si="52"/>
        <v>185297.35000000009</v>
      </c>
      <c r="AD16" s="4">
        <f t="shared" ca="1" si="27"/>
        <v>800839.43</v>
      </c>
      <c r="AE16" s="4">
        <f ca="1">SUMIF(норм2016!$Q$11:$AR$76,$C16,норм2016!$BC$11:$BC$76)</f>
        <v>2455517.0099999998</v>
      </c>
      <c r="AF16" s="4">
        <f ca="1">SUMIF(норм2016!$Q$11:$AR$76,$C16,норм2016!$BM$11:$BM$76)</f>
        <v>1216290.6100000001</v>
      </c>
      <c r="AG16" s="4">
        <v>265650</v>
      </c>
      <c r="AH16" s="211">
        <v>837157</v>
      </c>
      <c r="AI16" s="4">
        <f>SUMIF(газ!$G$71:$G$147,C16,газ!$J$71:$J$147)*1000</f>
        <v>146561.34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f t="shared" si="53"/>
        <v>1249368.3400000001</v>
      </c>
      <c r="AR16" s="211">
        <f t="shared" ca="1" si="54"/>
        <v>-33077.730000000003</v>
      </c>
      <c r="AS16" s="4"/>
      <c r="AT16" s="4">
        <f t="shared" ref="AT16:AT41" ca="1" si="89">-$AR16</f>
        <v>33077.730000000003</v>
      </c>
      <c r="AU16" s="4"/>
      <c r="AV16" s="4"/>
      <c r="AW16" s="4"/>
      <c r="AX16" s="4"/>
      <c r="AY16" s="4"/>
      <c r="AZ16" s="4"/>
      <c r="BA16" s="4"/>
      <c r="BB16" s="4"/>
      <c r="BC16" s="211">
        <f t="shared" ca="1" si="56"/>
        <v>33077.730000000003</v>
      </c>
      <c r="BD16" s="4">
        <f t="shared" ca="1" si="57"/>
        <v>0</v>
      </c>
      <c r="BE16" s="4">
        <f t="shared" si="58"/>
        <v>265650</v>
      </c>
      <c r="BF16" s="4">
        <f t="shared" ca="1" si="59"/>
        <v>804079.27</v>
      </c>
      <c r="BG16" s="4">
        <f t="shared" si="60"/>
        <v>146561.34</v>
      </c>
      <c r="BH16" s="4">
        <f t="shared" si="61"/>
        <v>0</v>
      </c>
      <c r="BI16" s="4">
        <f t="shared" si="62"/>
        <v>0</v>
      </c>
      <c r="BJ16" s="4">
        <f t="shared" si="63"/>
        <v>0</v>
      </c>
      <c r="BK16" s="4">
        <f t="shared" si="64"/>
        <v>0</v>
      </c>
      <c r="BL16" s="4">
        <f t="shared" si="65"/>
        <v>0</v>
      </c>
      <c r="BM16" s="4">
        <f t="shared" si="66"/>
        <v>0</v>
      </c>
      <c r="BN16" s="4">
        <f t="shared" si="67"/>
        <v>0</v>
      </c>
      <c r="BO16" s="4">
        <f t="shared" ca="1" si="68"/>
        <v>1216290.6100000001</v>
      </c>
      <c r="BP16" s="4">
        <v>0</v>
      </c>
      <c r="BQ16" s="211"/>
      <c r="BR16" s="4">
        <f t="shared" ca="1" si="29"/>
        <v>213700</v>
      </c>
      <c r="BS16" s="4">
        <f t="shared" ca="1" si="30"/>
        <v>64491.260000000009</v>
      </c>
      <c r="BT16" s="4">
        <f ca="1">SUMIF(норм2016!$Q$11:$AR$76,$C16,норм2016!$BE$11:$BE$76)</f>
        <v>278191.26</v>
      </c>
      <c r="BU16" s="4">
        <f ca="1">SUMIF(норм2016!$Q$11:$AR$76,$C16,норм2016!$BF$11:$BF$76)</f>
        <v>0</v>
      </c>
      <c r="BV16" s="4">
        <f t="shared" ca="1" si="31"/>
        <v>278191.26</v>
      </c>
      <c r="BW16" s="4">
        <f t="shared" ca="1" si="69"/>
        <v>961035.13999999966</v>
      </c>
      <c r="BX16" s="211">
        <v>7553.92</v>
      </c>
      <c r="BY16" s="211"/>
      <c r="BZ16" s="211">
        <v>29523.599999999999</v>
      </c>
      <c r="CA16" s="211">
        <v>17799.599999999999</v>
      </c>
      <c r="CB16" s="211">
        <v>22146</v>
      </c>
      <c r="CC16" s="211"/>
      <c r="CD16" s="211">
        <v>28040</v>
      </c>
      <c r="CE16" s="211"/>
      <c r="CF16" s="4">
        <f t="shared" si="70"/>
        <v>105063.12</v>
      </c>
      <c r="CG16" s="211">
        <v>55132.589999999735</v>
      </c>
      <c r="CH16" s="4">
        <f t="shared" ca="1" si="32"/>
        <v>855972.01999999967</v>
      </c>
      <c r="CI16" s="211">
        <f ca="1">ROUND(CK16/1.302,-2)+442.08</f>
        <v>615542.07999999996</v>
      </c>
      <c r="CJ16" s="4">
        <f t="shared" ca="1" si="72"/>
        <v>185297.34999999998</v>
      </c>
      <c r="CK16" s="211">
        <f ca="1">ROUND(SUMIF(норм2016!$Q$11:$AR$76,$C16,норм2016!$BG$11:$BG$76),2)-6174.53</f>
        <v>800839.42999999993</v>
      </c>
      <c r="CL16" s="211">
        <f t="shared" ca="1" si="73"/>
        <v>0</v>
      </c>
      <c r="CM16" s="4">
        <f t="shared" ca="1" si="35"/>
        <v>0</v>
      </c>
      <c r="CN16" s="4">
        <f t="shared" ca="1" si="36"/>
        <v>0</v>
      </c>
      <c r="CO16" s="4">
        <f t="shared" ca="1" si="88"/>
        <v>0</v>
      </c>
      <c r="CP16" s="4">
        <f t="shared" ca="1" si="38"/>
        <v>5936242.0800000001</v>
      </c>
      <c r="CQ16" s="4">
        <f t="shared" ca="1" si="39"/>
        <v>1792745.11</v>
      </c>
      <c r="CR16" s="4">
        <f t="shared" ca="1" si="74"/>
        <v>7728987.1900000004</v>
      </c>
      <c r="CS16" s="4">
        <f t="shared" ca="1" si="75"/>
        <v>4366006</v>
      </c>
      <c r="CT16" s="4">
        <f t="shared" ca="1" si="40"/>
        <v>2283950.5</v>
      </c>
      <c r="CU16" s="4">
        <f t="shared" si="41"/>
        <v>0</v>
      </c>
      <c r="CV16" s="4">
        <f t="shared" ca="1" si="76"/>
        <v>2455517.0099999998</v>
      </c>
      <c r="CW16" s="93">
        <f t="shared" ca="1" si="77"/>
        <v>9105473.5099999998</v>
      </c>
      <c r="CX16" s="4">
        <f t="shared" ca="1" si="42"/>
        <v>0</v>
      </c>
      <c r="CY16" s="4">
        <f t="shared" ca="1" si="43"/>
        <v>0</v>
      </c>
      <c r="CZ16" s="4">
        <f t="shared" ca="1" si="78"/>
        <v>0</v>
      </c>
      <c r="DA16" s="216">
        <f t="shared" ca="1" si="44"/>
        <v>9105473.5099999998</v>
      </c>
      <c r="DB16" s="4">
        <f t="shared" ca="1" si="45"/>
        <v>0</v>
      </c>
      <c r="DC16" s="211">
        <f t="shared" ca="1" si="46"/>
        <v>9105473.5099999998</v>
      </c>
      <c r="DE16" s="4"/>
      <c r="DF16" s="4"/>
      <c r="DG16" s="4"/>
      <c r="DH16" s="4"/>
      <c r="DI16" s="4"/>
      <c r="DJ16" s="4"/>
      <c r="DK16" s="4">
        <f t="shared" ca="1" si="79"/>
        <v>33077.730000000003</v>
      </c>
      <c r="DL16" s="4">
        <v>0</v>
      </c>
      <c r="DM16" s="4">
        <f t="shared" si="80"/>
        <v>0</v>
      </c>
      <c r="DN16" s="211">
        <f t="shared" si="81"/>
        <v>0</v>
      </c>
      <c r="DO16" s="218">
        <f t="shared" ca="1" si="82"/>
        <v>33077.730000000003</v>
      </c>
      <c r="DP16" s="219">
        <f t="shared" ca="1" si="83"/>
        <v>9138551.2400000002</v>
      </c>
      <c r="DQ16" s="251" t="s">
        <v>93</v>
      </c>
      <c r="DR16" s="251"/>
      <c r="DS16" s="251"/>
      <c r="DT16" s="251"/>
      <c r="EA16" s="1" t="s">
        <v>363</v>
      </c>
      <c r="EB16" s="10">
        <v>837157</v>
      </c>
      <c r="EC16" s="223">
        <v>0</v>
      </c>
    </row>
    <row r="17" spans="1:133">
      <c r="A17" s="12">
        <v>8</v>
      </c>
      <c r="B17" s="3" t="s">
        <v>51</v>
      </c>
      <c r="C17" s="12" t="s">
        <v>206</v>
      </c>
      <c r="D17" s="102"/>
      <c r="E17" s="102"/>
      <c r="F17" s="102"/>
      <c r="G17" s="4">
        <v>1217051.8399999999</v>
      </c>
      <c r="H17" s="211">
        <v>1231715.0400000007</v>
      </c>
      <c r="I17" s="4">
        <f t="shared" si="47"/>
        <v>14780580.480000008</v>
      </c>
      <c r="J17" s="4">
        <f t="shared" si="19"/>
        <v>4463735.3</v>
      </c>
      <c r="K17" s="4">
        <f t="shared" si="20"/>
        <v>19244315.780000009</v>
      </c>
      <c r="L17" s="4">
        <f ca="1">SUMIF(норм2016!$Q$11:$AR$76,C17,норм2016!$AX$11:$AX$76)</f>
        <v>15752007</v>
      </c>
      <c r="M17" s="4">
        <f ca="1">SUMIF(норм2016!$Q$11:$AR$76,$C17,норм2016!$AY$11:$AY$76)</f>
        <v>14565515</v>
      </c>
      <c r="N17" s="4">
        <f t="shared" ca="1" si="21"/>
        <v>11187000</v>
      </c>
      <c r="O17" s="4">
        <f t="shared" ca="1" si="22"/>
        <v>3378515</v>
      </c>
      <c r="P17" s="4">
        <f t="shared" ca="1" si="48"/>
        <v>14565515</v>
      </c>
      <c r="Q17" s="2"/>
      <c r="R17" s="2"/>
      <c r="S17" s="2"/>
      <c r="T17" s="2"/>
      <c r="U17" s="4">
        <f t="shared" ca="1" si="23"/>
        <v>3161680.4800000079</v>
      </c>
      <c r="V17" s="4">
        <f t="shared" ca="1" si="24"/>
        <v>954743.7899999998</v>
      </c>
      <c r="W17" s="4">
        <f t="shared" ca="1" si="25"/>
        <v>4116424.2700000079</v>
      </c>
      <c r="X17" s="4">
        <f ca="1">SUMIF(норм2016!$Q$11:$AR$76,$C17,норм2016!$AZ$11:$AZ$76)</f>
        <v>1186492</v>
      </c>
      <c r="Y17" s="4">
        <f t="shared" ca="1" si="49"/>
        <v>911000</v>
      </c>
      <c r="Z17" s="4">
        <f t="shared" ca="1" si="50"/>
        <v>275492</v>
      </c>
      <c r="AA17" s="4">
        <f t="shared" ca="1" si="26"/>
        <v>1186492</v>
      </c>
      <c r="AB17" s="211">
        <f t="shared" ca="1" si="51"/>
        <v>2250680.48</v>
      </c>
      <c r="AC17" s="4">
        <f t="shared" ca="1" si="52"/>
        <v>679251.7899999998</v>
      </c>
      <c r="AD17" s="4">
        <f t="shared" ca="1" si="27"/>
        <v>2929932.2699999996</v>
      </c>
      <c r="AE17" s="4">
        <f ca="1">SUMIF(норм2016!$Q$11:$AR$76,$C17,норм2016!$BC$11:$BC$76)</f>
        <v>3540690.05</v>
      </c>
      <c r="AF17" s="4">
        <f ca="1">SUMIF(норм2016!$Q$11:$AR$76,$C17,норм2016!$BM$11:$BM$76)</f>
        <v>1708356.27</v>
      </c>
      <c r="AG17" s="4">
        <v>375650</v>
      </c>
      <c r="AH17" s="211">
        <v>1670877.67</v>
      </c>
      <c r="AI17" s="4">
        <f>SUMIF(газ!$G$71:$G$147,C17,газ!$J$71:$J$147)*1000</f>
        <v>0</v>
      </c>
      <c r="AJ17" s="4">
        <v>61643.09</v>
      </c>
      <c r="AK17" s="4">
        <v>52000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f t="shared" si="53"/>
        <v>2160170.7599999998</v>
      </c>
      <c r="AR17" s="211">
        <f t="shared" ca="1" si="54"/>
        <v>-451814.49</v>
      </c>
      <c r="AS17" s="4"/>
      <c r="AT17" s="4">
        <f t="shared" ca="1" si="89"/>
        <v>451814.49</v>
      </c>
      <c r="AU17" s="4"/>
      <c r="AV17" s="4"/>
      <c r="AW17" s="4"/>
      <c r="AX17" s="4"/>
      <c r="AY17" s="4"/>
      <c r="AZ17" s="4"/>
      <c r="BA17" s="4"/>
      <c r="BB17" s="4"/>
      <c r="BC17" s="211">
        <f t="shared" ca="1" si="56"/>
        <v>451814.49</v>
      </c>
      <c r="BD17" s="4">
        <f t="shared" ca="1" si="57"/>
        <v>0</v>
      </c>
      <c r="BE17" s="4">
        <f t="shared" si="58"/>
        <v>375650</v>
      </c>
      <c r="BF17" s="4">
        <f t="shared" ca="1" si="59"/>
        <v>1219063.18</v>
      </c>
      <c r="BG17" s="4">
        <f t="shared" si="60"/>
        <v>0</v>
      </c>
      <c r="BH17" s="4">
        <f t="shared" si="61"/>
        <v>61643.09</v>
      </c>
      <c r="BI17" s="4">
        <f t="shared" si="62"/>
        <v>52000</v>
      </c>
      <c r="BJ17" s="4">
        <f t="shared" si="63"/>
        <v>0</v>
      </c>
      <c r="BK17" s="4">
        <f t="shared" si="64"/>
        <v>0</v>
      </c>
      <c r="BL17" s="4">
        <f t="shared" si="65"/>
        <v>0</v>
      </c>
      <c r="BM17" s="4">
        <f t="shared" si="66"/>
        <v>0</v>
      </c>
      <c r="BN17" s="4">
        <f t="shared" si="67"/>
        <v>0</v>
      </c>
      <c r="BO17" s="4">
        <f t="shared" ca="1" si="68"/>
        <v>1708356.27</v>
      </c>
      <c r="BP17" s="4">
        <v>0</v>
      </c>
      <c r="BQ17" s="211"/>
      <c r="BR17" s="4">
        <f t="shared" ca="1" si="29"/>
        <v>431900</v>
      </c>
      <c r="BS17" s="4">
        <f t="shared" ca="1" si="30"/>
        <v>130476.51000000001</v>
      </c>
      <c r="BT17" s="4">
        <f ca="1">SUMIF(норм2016!$Q$11:$AR$76,$C17,норм2016!$BE$11:$BE$76)</f>
        <v>562376.51</v>
      </c>
      <c r="BU17" s="4">
        <f ca="1">SUMIF(норм2016!$Q$11:$AR$76,$C17,норм2016!$BF$11:$BF$76)</f>
        <v>117715.5</v>
      </c>
      <c r="BV17" s="4">
        <f t="shared" ca="1" si="31"/>
        <v>680092.01</v>
      </c>
      <c r="BW17" s="4">
        <f t="shared" ca="1" si="69"/>
        <v>1152241.7699999998</v>
      </c>
      <c r="BX17" s="211">
        <v>20313.7</v>
      </c>
      <c r="BY17" s="211">
        <v>44880</v>
      </c>
      <c r="BZ17" s="211">
        <v>31423.919999999998</v>
      </c>
      <c r="CA17" s="211">
        <v>4200</v>
      </c>
      <c r="CB17" s="211">
        <v>14076</v>
      </c>
      <c r="CC17" s="211">
        <v>5074.68</v>
      </c>
      <c r="CD17" s="211">
        <v>14835</v>
      </c>
      <c r="CE17" s="211">
        <v>7500</v>
      </c>
      <c r="CF17" s="4">
        <f t="shared" si="70"/>
        <v>142303.29999999999</v>
      </c>
      <c r="CG17" s="211">
        <v>72760.949999999488</v>
      </c>
      <c r="CH17" s="4">
        <f t="shared" ca="1" si="32"/>
        <v>1009938.4699999997</v>
      </c>
      <c r="CI17" s="211">
        <f t="shared" ca="1" si="71"/>
        <v>719800</v>
      </c>
      <c r="CJ17" s="4">
        <f t="shared" ca="1" si="72"/>
        <v>217377.52000000002</v>
      </c>
      <c r="CK17" s="211">
        <f ca="1">ROUND(SUMIF(норм2016!$Q$11:$AR$76,$C17,норм2016!$BG$11:$BG$76),2)</f>
        <v>937177.52</v>
      </c>
      <c r="CL17" s="211">
        <f t="shared" ca="1" si="73"/>
        <v>2.3283064365386963E-10</v>
      </c>
      <c r="CM17" s="4">
        <f t="shared" ca="1" si="35"/>
        <v>1530880.48</v>
      </c>
      <c r="CN17" s="4">
        <f t="shared" ca="1" si="36"/>
        <v>461874.26999999979</v>
      </c>
      <c r="CO17" s="4">
        <f t="shared" ca="1" si="37"/>
        <v>1992754.7499999998</v>
      </c>
      <c r="CP17" s="4">
        <f t="shared" ca="1" si="38"/>
        <v>14780580.48</v>
      </c>
      <c r="CQ17" s="4">
        <f t="shared" ca="1" si="39"/>
        <v>4463735.3</v>
      </c>
      <c r="CR17" s="4">
        <f t="shared" ca="1" si="74"/>
        <v>19244315.780000001</v>
      </c>
      <c r="CS17" s="4">
        <f t="shared" ca="1" si="75"/>
        <v>14565515</v>
      </c>
      <c r="CT17" s="4">
        <f t="shared" ca="1" si="40"/>
        <v>1186492</v>
      </c>
      <c r="CU17" s="4">
        <f t="shared" si="41"/>
        <v>0</v>
      </c>
      <c r="CV17" s="4">
        <f t="shared" ca="1" si="76"/>
        <v>3540690.0499999993</v>
      </c>
      <c r="CW17" s="93">
        <f t="shared" ca="1" si="77"/>
        <v>19292697.050000001</v>
      </c>
      <c r="CX17" s="4">
        <f t="shared" ca="1" si="42"/>
        <v>0</v>
      </c>
      <c r="CY17" s="4">
        <f t="shared" ca="1" si="43"/>
        <v>0</v>
      </c>
      <c r="CZ17" s="4">
        <f t="shared" ca="1" si="78"/>
        <v>0</v>
      </c>
      <c r="DA17" s="216">
        <f t="shared" ca="1" si="44"/>
        <v>19292697.050000001</v>
      </c>
      <c r="DB17" s="4">
        <f t="shared" ca="1" si="45"/>
        <v>0</v>
      </c>
      <c r="DC17" s="211">
        <f t="shared" ca="1" si="46"/>
        <v>21285451.800000001</v>
      </c>
      <c r="DE17" s="4">
        <f>2407600+991526.7</f>
        <v>3399126.7</v>
      </c>
      <c r="DF17" s="4">
        <v>515000</v>
      </c>
      <c r="DG17" s="4">
        <v>687900</v>
      </c>
      <c r="DH17" s="4">
        <v>16534500</v>
      </c>
      <c r="DI17" s="4">
        <f t="shared" ref="DI17" si="90">SUM(DE17:DH17)</f>
        <v>21136526.699999999</v>
      </c>
      <c r="DJ17" s="4">
        <v>5100000</v>
      </c>
      <c r="DK17" s="4">
        <f t="shared" ca="1" si="79"/>
        <v>451814.49</v>
      </c>
      <c r="DL17" s="4">
        <v>7600000</v>
      </c>
      <c r="DM17" s="4">
        <f t="shared" si="80"/>
        <v>0</v>
      </c>
      <c r="DN17" s="211">
        <f t="shared" si="81"/>
        <v>0</v>
      </c>
      <c r="DO17" s="218">
        <f t="shared" ca="1" si="82"/>
        <v>34288341.189999998</v>
      </c>
      <c r="DP17" s="219">
        <f t="shared" ca="1" si="83"/>
        <v>55573792.989999995</v>
      </c>
      <c r="DQ17" s="8" t="s">
        <v>103</v>
      </c>
      <c r="EA17" s="1" t="s">
        <v>364</v>
      </c>
      <c r="EB17" s="10">
        <v>1670877.67</v>
      </c>
      <c r="EC17" s="223">
        <v>0</v>
      </c>
    </row>
    <row r="18" spans="1:133">
      <c r="A18" s="12">
        <v>9</v>
      </c>
      <c r="B18" s="3" t="s">
        <v>52</v>
      </c>
      <c r="C18" s="12" t="s">
        <v>207</v>
      </c>
      <c r="D18" s="102"/>
      <c r="E18" s="102"/>
      <c r="F18" s="102"/>
      <c r="G18" s="4">
        <v>2285517.080000001</v>
      </c>
      <c r="H18" s="211">
        <v>2315721.17</v>
      </c>
      <c r="I18" s="4">
        <f t="shared" si="47"/>
        <v>27788654.039999999</v>
      </c>
      <c r="J18" s="4">
        <f t="shared" si="19"/>
        <v>8392173.5199999996</v>
      </c>
      <c r="K18" s="4">
        <f t="shared" si="20"/>
        <v>36180827.560000002</v>
      </c>
      <c r="L18" s="4">
        <f ca="1">SUMIF(норм2016!$Q$11:$AR$76,C18,норм2016!$AX$11:$AX$76)</f>
        <v>28654376.100000001</v>
      </c>
      <c r="M18" s="4">
        <f ca="1">SUMIF(норм2016!$Q$11:$AR$76,$C18,норм2016!$AY$11:$AY$76)</f>
        <v>28420064.600000001</v>
      </c>
      <c r="N18" s="4">
        <f t="shared" ca="1" si="21"/>
        <v>21828000</v>
      </c>
      <c r="O18" s="4">
        <f t="shared" ca="1" si="22"/>
        <v>6592064.6000000015</v>
      </c>
      <c r="P18" s="4">
        <f t="shared" ca="1" si="48"/>
        <v>28420064.600000001</v>
      </c>
      <c r="Q18" s="2"/>
      <c r="R18" s="2"/>
      <c r="S18" s="2"/>
      <c r="T18" s="2"/>
      <c r="U18" s="4">
        <f t="shared" ca="1" si="23"/>
        <v>5292354.0399999991</v>
      </c>
      <c r="V18" s="4">
        <f t="shared" ca="1" si="24"/>
        <v>1598221.9599999981</v>
      </c>
      <c r="W18" s="4">
        <f t="shared" ca="1" si="25"/>
        <v>6890575.9999999972</v>
      </c>
      <c r="X18" s="4">
        <f ca="1">SUMIF(норм2016!$Q$11:$AR$76,$C18,норм2016!$AZ$11:$AZ$76)</f>
        <v>234311.5</v>
      </c>
      <c r="Y18" s="4">
        <f t="shared" ca="1" si="49"/>
        <v>180000</v>
      </c>
      <c r="Z18" s="4">
        <f t="shared" ca="1" si="50"/>
        <v>54311.5</v>
      </c>
      <c r="AA18" s="4">
        <f t="shared" ca="1" si="26"/>
        <v>234311.5</v>
      </c>
      <c r="AB18" s="211">
        <f t="shared" ca="1" si="51"/>
        <v>5112354.04</v>
      </c>
      <c r="AC18" s="4">
        <f t="shared" ca="1" si="52"/>
        <v>1543910.4599999981</v>
      </c>
      <c r="AD18" s="4">
        <f t="shared" ca="1" si="27"/>
        <v>6656264.4999999981</v>
      </c>
      <c r="AE18" s="4">
        <f ca="1">SUMIF(норм2016!$Q$11:$AR$76,$C18,норм2016!$BC$11:$BC$76)</f>
        <v>6075797.1900000004</v>
      </c>
      <c r="AF18" s="4">
        <f ca="1">SUMIF(норм2016!$Q$11:$AR$76,$C18,норм2016!$BM$11:$BM$76)</f>
        <v>3265510.02</v>
      </c>
      <c r="AG18" s="4">
        <v>830500</v>
      </c>
      <c r="AH18" s="211">
        <v>3246166.96</v>
      </c>
      <c r="AI18" s="4">
        <f>SUMIF(газ!$G$71:$G$147,C18,газ!$J$71:$J$147)*1000</f>
        <v>0</v>
      </c>
      <c r="AJ18" s="4">
        <v>91188</v>
      </c>
      <c r="AK18" s="4">
        <v>80500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f t="shared" si="53"/>
        <v>4248354.96</v>
      </c>
      <c r="AR18" s="211">
        <f t="shared" ca="1" si="54"/>
        <v>-982844.94</v>
      </c>
      <c r="AS18" s="4"/>
      <c r="AT18" s="4">
        <f t="shared" ca="1" si="89"/>
        <v>982844.94</v>
      </c>
      <c r="AU18" s="4"/>
      <c r="AV18" s="4"/>
      <c r="AW18" s="4"/>
      <c r="AX18" s="4"/>
      <c r="AY18" s="4"/>
      <c r="AZ18" s="4"/>
      <c r="BA18" s="4"/>
      <c r="BB18" s="4"/>
      <c r="BC18" s="211">
        <f t="shared" ca="1" si="56"/>
        <v>982844.94</v>
      </c>
      <c r="BD18" s="4">
        <f t="shared" ca="1" si="57"/>
        <v>0</v>
      </c>
      <c r="BE18" s="4">
        <f t="shared" si="58"/>
        <v>830500</v>
      </c>
      <c r="BF18" s="4">
        <f t="shared" ca="1" si="59"/>
        <v>2263322.02</v>
      </c>
      <c r="BG18" s="4">
        <f t="shared" si="60"/>
        <v>0</v>
      </c>
      <c r="BH18" s="4">
        <f t="shared" si="61"/>
        <v>91188</v>
      </c>
      <c r="BI18" s="4">
        <f t="shared" si="62"/>
        <v>80500</v>
      </c>
      <c r="BJ18" s="4">
        <f t="shared" si="63"/>
        <v>0</v>
      </c>
      <c r="BK18" s="4">
        <f t="shared" si="64"/>
        <v>0</v>
      </c>
      <c r="BL18" s="4">
        <f t="shared" si="65"/>
        <v>0</v>
      </c>
      <c r="BM18" s="4">
        <f t="shared" si="66"/>
        <v>0</v>
      </c>
      <c r="BN18" s="4">
        <f t="shared" si="67"/>
        <v>0</v>
      </c>
      <c r="BO18" s="4">
        <f t="shared" ca="1" si="68"/>
        <v>3265510.02</v>
      </c>
      <c r="BP18" s="4">
        <v>0</v>
      </c>
      <c r="BQ18" s="211"/>
      <c r="BR18" s="4">
        <f t="shared" ca="1" si="29"/>
        <v>668300</v>
      </c>
      <c r="BS18" s="4">
        <f t="shared" ca="1" si="30"/>
        <v>201886.95999999996</v>
      </c>
      <c r="BT18" s="4">
        <f ca="1">SUMIF(норм2016!$Q$11:$AR$76,$C18,норм2016!$BE$11:$BE$76)</f>
        <v>870186.96</v>
      </c>
      <c r="BU18" s="4">
        <f ca="1">SUMIF(норм2016!$Q$11:$AR$76,$C18,норм2016!$BF$11:$BF$76)</f>
        <v>264859.88</v>
      </c>
      <c r="BV18" s="4">
        <f t="shared" ca="1" si="31"/>
        <v>1135046.8399999999</v>
      </c>
      <c r="BW18" s="4">
        <f t="shared" ca="1" si="69"/>
        <v>1675240.3300000005</v>
      </c>
      <c r="BX18" s="211">
        <v>25165.919999999998</v>
      </c>
      <c r="BY18" s="211">
        <v>84150</v>
      </c>
      <c r="BZ18" s="211">
        <v>19074.96</v>
      </c>
      <c r="CA18" s="211">
        <v>5040</v>
      </c>
      <c r="CB18" s="211">
        <v>15903</v>
      </c>
      <c r="CC18" s="211">
        <v>5074.68</v>
      </c>
      <c r="CD18" s="211">
        <v>51890</v>
      </c>
      <c r="CE18" s="211"/>
      <c r="CF18" s="4">
        <f t="shared" si="70"/>
        <v>206298.56</v>
      </c>
      <c r="CG18" s="211">
        <v>228049.32000000053</v>
      </c>
      <c r="CH18" s="4">
        <f t="shared" ref="CH18:CH41" ca="1" si="91">BW18-CF18</f>
        <v>1468941.7700000005</v>
      </c>
      <c r="CI18" s="211">
        <f t="shared" ca="1" si="71"/>
        <v>953100</v>
      </c>
      <c r="CJ18" s="4">
        <f t="shared" ca="1" si="72"/>
        <v>287792.44999999995</v>
      </c>
      <c r="CK18" s="211">
        <f ca="1">ROUND(SUMIF(норм2016!$Q$11:$AR$76,$C18,норм2016!$BG$11:$BG$76),2)</f>
        <v>1240892.45</v>
      </c>
      <c r="CL18" s="211">
        <f t="shared" ca="1" si="73"/>
        <v>0</v>
      </c>
      <c r="CM18" s="4">
        <f t="shared" ca="1" si="35"/>
        <v>4159254.04</v>
      </c>
      <c r="CN18" s="4">
        <f t="shared" ca="1" si="36"/>
        <v>1256118.0099999981</v>
      </c>
      <c r="CO18" s="4">
        <f t="shared" ca="1" si="37"/>
        <v>5415372.049999998</v>
      </c>
      <c r="CP18" s="4">
        <f t="shared" ca="1" si="38"/>
        <v>27788654.039999999</v>
      </c>
      <c r="CQ18" s="4">
        <f t="shared" ca="1" si="39"/>
        <v>8392173.5199999996</v>
      </c>
      <c r="CR18" s="4">
        <f t="shared" ca="1" si="74"/>
        <v>36180827.560000002</v>
      </c>
      <c r="CS18" s="4">
        <f t="shared" ca="1" si="75"/>
        <v>28420064.600000001</v>
      </c>
      <c r="CT18" s="4">
        <f t="shared" ca="1" si="40"/>
        <v>234311.5</v>
      </c>
      <c r="CU18" s="4">
        <f t="shared" si="41"/>
        <v>0</v>
      </c>
      <c r="CV18" s="4">
        <f t="shared" ca="1" si="76"/>
        <v>6075797.1899999995</v>
      </c>
      <c r="CW18" s="93">
        <f t="shared" ca="1" si="77"/>
        <v>34730173.289999999</v>
      </c>
      <c r="CX18" s="4">
        <f t="shared" ca="1" si="42"/>
        <v>0</v>
      </c>
      <c r="CY18" s="4">
        <f t="shared" ca="1" si="43"/>
        <v>0</v>
      </c>
      <c r="CZ18" s="4">
        <f t="shared" ca="1" si="78"/>
        <v>0</v>
      </c>
      <c r="DA18" s="216">
        <f t="shared" ca="1" si="44"/>
        <v>34730173.289999999</v>
      </c>
      <c r="DB18" s="4">
        <f t="shared" ca="1" si="45"/>
        <v>0</v>
      </c>
      <c r="DC18" s="211">
        <f t="shared" ca="1" si="46"/>
        <v>40145545.339999996</v>
      </c>
      <c r="DE18" s="4"/>
      <c r="DF18" s="4"/>
      <c r="DG18" s="4"/>
      <c r="DH18" s="4"/>
      <c r="DI18" s="4"/>
      <c r="DJ18" s="4"/>
      <c r="DK18" s="4">
        <f t="shared" ca="1" si="79"/>
        <v>982844.94</v>
      </c>
      <c r="DL18" s="4">
        <v>0</v>
      </c>
      <c r="DM18" s="4">
        <f t="shared" si="80"/>
        <v>0</v>
      </c>
      <c r="DN18" s="211">
        <f t="shared" si="81"/>
        <v>0</v>
      </c>
      <c r="DO18" s="218">
        <f t="shared" ca="1" si="82"/>
        <v>982844.94</v>
      </c>
      <c r="DP18" s="219">
        <f t="shared" ca="1" si="83"/>
        <v>41128390.279999994</v>
      </c>
      <c r="DQ18" s="8" t="s">
        <v>104</v>
      </c>
      <c r="EA18" s="1" t="s">
        <v>364</v>
      </c>
      <c r="EB18" s="10">
        <v>3246166.96</v>
      </c>
      <c r="EC18" s="223">
        <v>0</v>
      </c>
    </row>
    <row r="19" spans="1:133">
      <c r="A19" s="12">
        <v>10</v>
      </c>
      <c r="B19" s="3" t="s">
        <v>53</v>
      </c>
      <c r="C19" s="12" t="s">
        <v>208</v>
      </c>
      <c r="D19" s="102"/>
      <c r="E19" s="102"/>
      <c r="F19" s="102"/>
      <c r="G19" s="4">
        <v>1615447.1200000008</v>
      </c>
      <c r="H19" s="211">
        <v>1666507.4400000002</v>
      </c>
      <c r="I19" s="4">
        <f t="shared" si="47"/>
        <v>19998089.280000001</v>
      </c>
      <c r="J19" s="4">
        <f t="shared" si="19"/>
        <v>6039422.96</v>
      </c>
      <c r="K19" s="4">
        <f t="shared" si="20"/>
        <v>26037512.240000002</v>
      </c>
      <c r="L19" s="4">
        <f ca="1">SUMIF(норм2016!$Q$11:$AR$76,C19,норм2016!$AX$11:$AX$76)</f>
        <v>19121270.800000001</v>
      </c>
      <c r="M19" s="4">
        <f ca="1">SUMIF(норм2016!$Q$11:$AR$76,$C19,норм2016!$AY$11:$AY$76)</f>
        <v>19121270.800000001</v>
      </c>
      <c r="N19" s="4">
        <f t="shared" ca="1" si="21"/>
        <v>14686000</v>
      </c>
      <c r="O19" s="4">
        <f t="shared" ca="1" si="22"/>
        <v>4435270.8000000007</v>
      </c>
      <c r="P19" s="4">
        <f t="shared" ca="1" si="48"/>
        <v>19121270.800000001</v>
      </c>
      <c r="Q19" s="2"/>
      <c r="R19" s="2"/>
      <c r="S19" s="2"/>
      <c r="T19" s="2"/>
      <c r="U19" s="4">
        <f t="shared" ca="1" si="23"/>
        <v>4780189.2800000012</v>
      </c>
      <c r="V19" s="4">
        <f t="shared" ca="1" si="24"/>
        <v>1443546.6399999992</v>
      </c>
      <c r="W19" s="4">
        <f t="shared" ca="1" si="25"/>
        <v>6223735.9199999999</v>
      </c>
      <c r="X19" s="4">
        <f ca="1">SUMIF(норм2016!$Q$11:$AR$76,$C19,норм2016!$AZ$11:$AZ$76)</f>
        <v>0</v>
      </c>
      <c r="Y19" s="4">
        <f t="shared" ca="1" si="49"/>
        <v>0</v>
      </c>
      <c r="Z19" s="4">
        <f t="shared" ca="1" si="50"/>
        <v>0</v>
      </c>
      <c r="AA19" s="4">
        <f t="shared" ca="1" si="26"/>
        <v>0</v>
      </c>
      <c r="AB19" s="211">
        <f t="shared" ca="1" si="51"/>
        <v>4780189.28</v>
      </c>
      <c r="AC19" s="4">
        <f t="shared" ca="1" si="52"/>
        <v>1443546.6399999992</v>
      </c>
      <c r="AD19" s="4">
        <f t="shared" ca="1" si="27"/>
        <v>6223735.9199999999</v>
      </c>
      <c r="AE19" s="4">
        <f ca="1">SUMIF(норм2016!$Q$11:$AR$76,$C19,норм2016!$BC$11:$BC$76)</f>
        <v>3871702.13</v>
      </c>
      <c r="AF19" s="4">
        <f ca="1">SUMIF(норм2016!$Q$11:$AR$76,$C19,норм2016!$BM$11:$BM$76)</f>
        <v>1641655.42</v>
      </c>
      <c r="AG19" s="4">
        <v>380600</v>
      </c>
      <c r="AH19" s="211">
        <v>1434818.81</v>
      </c>
      <c r="AI19" s="4">
        <f>SUMIF(газ!$G$71:$G$147,C19,газ!$J$71:$J$147)*1000</f>
        <v>0</v>
      </c>
      <c r="AJ19" s="4">
        <v>75990</v>
      </c>
      <c r="AK19" s="4">
        <v>59900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f t="shared" si="53"/>
        <v>1951308.81</v>
      </c>
      <c r="AR19" s="211">
        <f t="shared" ca="1" si="54"/>
        <v>-309653.39</v>
      </c>
      <c r="AS19" s="4"/>
      <c r="AT19" s="4">
        <f t="shared" ca="1" si="89"/>
        <v>309653.39</v>
      </c>
      <c r="AU19" s="4"/>
      <c r="AV19" s="4"/>
      <c r="AW19" s="4"/>
      <c r="AX19" s="4"/>
      <c r="AY19" s="4"/>
      <c r="AZ19" s="4"/>
      <c r="BA19" s="4"/>
      <c r="BB19" s="4"/>
      <c r="BC19" s="211">
        <f t="shared" ca="1" si="56"/>
        <v>309653.39</v>
      </c>
      <c r="BD19" s="4">
        <f t="shared" ca="1" si="57"/>
        <v>0</v>
      </c>
      <c r="BE19" s="4">
        <f t="shared" si="58"/>
        <v>380600</v>
      </c>
      <c r="BF19" s="4">
        <f t="shared" ca="1" si="59"/>
        <v>1125165.42</v>
      </c>
      <c r="BG19" s="4">
        <f t="shared" si="60"/>
        <v>0</v>
      </c>
      <c r="BH19" s="4">
        <f t="shared" si="61"/>
        <v>75990</v>
      </c>
      <c r="BI19" s="4">
        <f t="shared" si="62"/>
        <v>59900</v>
      </c>
      <c r="BJ19" s="4">
        <f t="shared" si="63"/>
        <v>0</v>
      </c>
      <c r="BK19" s="4">
        <f t="shared" si="64"/>
        <v>0</v>
      </c>
      <c r="BL19" s="4">
        <f t="shared" si="65"/>
        <v>0</v>
      </c>
      <c r="BM19" s="4">
        <f t="shared" si="66"/>
        <v>0</v>
      </c>
      <c r="BN19" s="4">
        <f t="shared" si="67"/>
        <v>0</v>
      </c>
      <c r="BO19" s="4">
        <f t="shared" ca="1" si="68"/>
        <v>1641655.42</v>
      </c>
      <c r="BP19" s="4">
        <v>0</v>
      </c>
      <c r="BQ19" s="211"/>
      <c r="BR19" s="4">
        <f t="shared" ca="1" si="29"/>
        <v>531900</v>
      </c>
      <c r="BS19" s="4">
        <f t="shared" ca="1" si="30"/>
        <v>160605.52000000002</v>
      </c>
      <c r="BT19" s="4">
        <f ca="1">SUMIF(норм2016!$Q$11:$AR$76,$C19,норм2016!$BE$11:$BE$76)</f>
        <v>692505.52</v>
      </c>
      <c r="BU19" s="4">
        <f ca="1">SUMIF(норм2016!$Q$11:$AR$76,$C19,норм2016!$BF$11:$BF$76)</f>
        <v>117715.5</v>
      </c>
      <c r="BV19" s="4">
        <f t="shared" ca="1" si="31"/>
        <v>810221.02</v>
      </c>
      <c r="BW19" s="4">
        <f t="shared" ca="1" si="69"/>
        <v>1419825.69</v>
      </c>
      <c r="BX19" s="211">
        <v>20382.560000000001</v>
      </c>
      <c r="BY19" s="211">
        <v>64515</v>
      </c>
      <c r="BZ19" s="211">
        <v>22190.16</v>
      </c>
      <c r="CA19" s="211">
        <v>2940</v>
      </c>
      <c r="CB19" s="211">
        <v>15903</v>
      </c>
      <c r="CC19" s="211">
        <v>5074.68</v>
      </c>
      <c r="CD19" s="211">
        <v>5670</v>
      </c>
      <c r="CE19" s="211">
        <v>7800</v>
      </c>
      <c r="CF19" s="4">
        <f t="shared" si="70"/>
        <v>144475.4</v>
      </c>
      <c r="CG19" s="211">
        <v>121233.53000000003</v>
      </c>
      <c r="CH19" s="4">
        <f t="shared" ca="1" si="91"/>
        <v>1275350.29</v>
      </c>
      <c r="CI19" s="211">
        <f t="shared" ca="1" si="71"/>
        <v>886400</v>
      </c>
      <c r="CJ19" s="4">
        <f t="shared" ca="1" si="72"/>
        <v>267716.76</v>
      </c>
      <c r="CK19" s="211">
        <f ca="1">ROUND(SUMIF(норм2016!$Q$11:$AR$76,$C19,норм2016!$BG$11:$BG$76),2)</f>
        <v>1154116.76</v>
      </c>
      <c r="CL19" s="211">
        <f t="shared" ca="1" si="73"/>
        <v>0</v>
      </c>
      <c r="CM19" s="4">
        <f t="shared" ca="1" si="35"/>
        <v>3893789.2800000003</v>
      </c>
      <c r="CN19" s="4">
        <f t="shared" ca="1" si="36"/>
        <v>1175829.8799999992</v>
      </c>
      <c r="CO19" s="4">
        <f t="shared" ca="1" si="37"/>
        <v>5069619.1599999992</v>
      </c>
      <c r="CP19" s="4">
        <f t="shared" ca="1" si="38"/>
        <v>19998089.280000001</v>
      </c>
      <c r="CQ19" s="4">
        <f t="shared" ca="1" si="39"/>
        <v>6039422.959999999</v>
      </c>
      <c r="CR19" s="4">
        <f t="shared" ca="1" si="74"/>
        <v>26037512.240000002</v>
      </c>
      <c r="CS19" s="4">
        <f t="shared" ca="1" si="75"/>
        <v>19121270.800000001</v>
      </c>
      <c r="CT19" s="4">
        <f t="shared" ca="1" si="40"/>
        <v>0</v>
      </c>
      <c r="CU19" s="4">
        <f t="shared" si="41"/>
        <v>0</v>
      </c>
      <c r="CV19" s="4">
        <f t="shared" ca="1" si="76"/>
        <v>3871702.1299999994</v>
      </c>
      <c r="CW19" s="93">
        <f t="shared" ca="1" si="77"/>
        <v>22992972.93</v>
      </c>
      <c r="CX19" s="4">
        <f t="shared" ca="1" si="42"/>
        <v>0</v>
      </c>
      <c r="CY19" s="4">
        <f t="shared" ca="1" si="43"/>
        <v>0</v>
      </c>
      <c r="CZ19" s="4">
        <f t="shared" ca="1" si="78"/>
        <v>0</v>
      </c>
      <c r="DA19" s="216">
        <f t="shared" ca="1" si="44"/>
        <v>22992972.93</v>
      </c>
      <c r="DB19" s="4">
        <f t="shared" ca="1" si="45"/>
        <v>0</v>
      </c>
      <c r="DC19" s="211">
        <f t="shared" ca="1" si="46"/>
        <v>28062592.09</v>
      </c>
      <c r="DE19" s="4"/>
      <c r="DF19" s="4"/>
      <c r="DG19" s="4"/>
      <c r="DH19" s="4"/>
      <c r="DI19" s="4"/>
      <c r="DJ19" s="4"/>
      <c r="DK19" s="4">
        <f t="shared" ca="1" si="79"/>
        <v>309653.39</v>
      </c>
      <c r="DL19" s="4">
        <v>0</v>
      </c>
      <c r="DM19" s="4">
        <f t="shared" si="80"/>
        <v>0</v>
      </c>
      <c r="DN19" s="211">
        <f t="shared" si="81"/>
        <v>0</v>
      </c>
      <c r="DO19" s="218">
        <f t="shared" ca="1" si="82"/>
        <v>309653.39</v>
      </c>
      <c r="DP19" s="219">
        <f t="shared" ca="1" si="83"/>
        <v>28372245.48</v>
      </c>
      <c r="DQ19" s="8" t="s">
        <v>98</v>
      </c>
      <c r="EA19" s="1" t="s">
        <v>364</v>
      </c>
      <c r="EB19" s="10">
        <v>1434818.81</v>
      </c>
      <c r="EC19" s="223">
        <v>0</v>
      </c>
    </row>
    <row r="20" spans="1:133">
      <c r="A20" s="12">
        <v>11</v>
      </c>
      <c r="B20" s="3" t="s">
        <v>54</v>
      </c>
      <c r="C20" s="12" t="s">
        <v>209</v>
      </c>
      <c r="D20" s="102"/>
      <c r="E20" s="102"/>
      <c r="F20" s="102"/>
      <c r="G20" s="4">
        <v>1604211.5899999989</v>
      </c>
      <c r="H20" s="211">
        <v>1568083.3599999987</v>
      </c>
      <c r="I20" s="4">
        <f t="shared" si="47"/>
        <v>18817000.319999985</v>
      </c>
      <c r="J20" s="4">
        <f t="shared" si="19"/>
        <v>5682734.0999999996</v>
      </c>
      <c r="K20" s="4">
        <f t="shared" si="20"/>
        <v>24499734.419999987</v>
      </c>
      <c r="L20" s="4">
        <f ca="1">SUMIF(норм2016!$Q$11:$AR$76,C20,норм2016!$AX$11:$AX$76)</f>
        <v>18582023.5</v>
      </c>
      <c r="M20" s="4">
        <f ca="1">SUMIF(норм2016!$Q$11:$AR$76,$C20,норм2016!$AY$11:$AY$76)</f>
        <v>17028346</v>
      </c>
      <c r="N20" s="4">
        <f t="shared" ca="1" si="21"/>
        <v>13079000</v>
      </c>
      <c r="O20" s="4">
        <f t="shared" ca="1" si="22"/>
        <v>3949346</v>
      </c>
      <c r="P20" s="4">
        <f t="shared" ca="1" si="48"/>
        <v>17028346</v>
      </c>
      <c r="Q20" s="2"/>
      <c r="R20" s="2"/>
      <c r="S20" s="2"/>
      <c r="T20" s="2"/>
      <c r="U20" s="4">
        <f t="shared" ca="1" si="23"/>
        <v>5243300.3199999854</v>
      </c>
      <c r="V20" s="4">
        <f t="shared" ca="1" si="24"/>
        <v>1584029.0099999998</v>
      </c>
      <c r="W20" s="4">
        <f t="shared" ca="1" si="25"/>
        <v>6827329.3299999852</v>
      </c>
      <c r="X20" s="4">
        <f ca="1">SUMIF(норм2016!$Q$11:$AR$76,$C20,норм2016!$AZ$11:$AZ$76)</f>
        <v>1553677.5</v>
      </c>
      <c r="Y20" s="4">
        <f t="shared" ca="1" si="49"/>
        <v>1193000</v>
      </c>
      <c r="Z20" s="4">
        <f t="shared" ca="1" si="50"/>
        <v>360677.5</v>
      </c>
      <c r="AA20" s="4">
        <f t="shared" ca="1" si="26"/>
        <v>1553677.5</v>
      </c>
      <c r="AB20" s="211">
        <f t="shared" ca="1" si="51"/>
        <v>4050300.32</v>
      </c>
      <c r="AC20" s="4">
        <f t="shared" ca="1" si="52"/>
        <v>1223351.5099999998</v>
      </c>
      <c r="AD20" s="4">
        <f t="shared" ca="1" si="27"/>
        <v>5273651.83</v>
      </c>
      <c r="AE20" s="4">
        <f ca="1">SUMIF(норм2016!$Q$11:$AR$76,$C20,норм2016!$BC$11:$BC$76)</f>
        <v>5773281.4800000004</v>
      </c>
      <c r="AF20" s="4">
        <f ca="1">SUMIF(норм2016!$Q$11:$AR$76,$C20,норм2016!$BM$11:$BM$76)</f>
        <v>3403385.87</v>
      </c>
      <c r="AG20" s="4">
        <v>607750</v>
      </c>
      <c r="AH20" s="211">
        <v>2782916.05</v>
      </c>
      <c r="AI20" s="4">
        <f>SUMIF(газ!$G$71:$G$147,C20,газ!$J$71:$J$147)*1000</f>
        <v>0</v>
      </c>
      <c r="AJ20" s="4">
        <v>45594</v>
      </c>
      <c r="AK20" s="4">
        <v>54800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f t="shared" si="53"/>
        <v>3491060.05</v>
      </c>
      <c r="AR20" s="211">
        <f t="shared" ca="1" si="54"/>
        <v>-87674.18</v>
      </c>
      <c r="AS20" s="4"/>
      <c r="AT20" s="4">
        <f t="shared" ca="1" si="89"/>
        <v>87674.18</v>
      </c>
      <c r="AU20" s="4"/>
      <c r="AV20" s="4"/>
      <c r="AW20" s="4"/>
      <c r="AX20" s="4"/>
      <c r="AY20" s="4"/>
      <c r="AZ20" s="4"/>
      <c r="BA20" s="4"/>
      <c r="BB20" s="4"/>
      <c r="BC20" s="211">
        <f t="shared" ca="1" si="56"/>
        <v>87674.18</v>
      </c>
      <c r="BD20" s="4">
        <f t="shared" ca="1" si="57"/>
        <v>0</v>
      </c>
      <c r="BE20" s="4">
        <f t="shared" si="58"/>
        <v>607750</v>
      </c>
      <c r="BF20" s="4">
        <f t="shared" ca="1" si="59"/>
        <v>2695241.8699999996</v>
      </c>
      <c r="BG20" s="4">
        <f t="shared" si="60"/>
        <v>0</v>
      </c>
      <c r="BH20" s="4">
        <f t="shared" si="61"/>
        <v>45594</v>
      </c>
      <c r="BI20" s="4">
        <f t="shared" si="62"/>
        <v>54800</v>
      </c>
      <c r="BJ20" s="4">
        <f t="shared" si="63"/>
        <v>0</v>
      </c>
      <c r="BK20" s="4">
        <f t="shared" si="64"/>
        <v>0</v>
      </c>
      <c r="BL20" s="4">
        <f t="shared" si="65"/>
        <v>0</v>
      </c>
      <c r="BM20" s="4">
        <f t="shared" si="66"/>
        <v>0</v>
      </c>
      <c r="BN20" s="4">
        <f t="shared" si="67"/>
        <v>0</v>
      </c>
      <c r="BO20" s="4">
        <f t="shared" ca="1" si="68"/>
        <v>3403385.8699999996</v>
      </c>
      <c r="BP20" s="4">
        <v>0</v>
      </c>
      <c r="BQ20" s="211"/>
      <c r="BR20" s="4">
        <f t="shared" ca="1" si="29"/>
        <v>494700</v>
      </c>
      <c r="BS20" s="4">
        <f t="shared" ca="1" si="30"/>
        <v>149359.08999999997</v>
      </c>
      <c r="BT20" s="4">
        <f ca="1">SUMIF(норм2016!$Q$11:$AR$76,$C20,норм2016!$BE$11:$BE$76)</f>
        <v>644059.09</v>
      </c>
      <c r="BU20" s="4">
        <f ca="1">SUMIF(норм2016!$Q$11:$AR$76,$C20,норм2016!$BF$11:$BF$76)</f>
        <v>176573.25</v>
      </c>
      <c r="BV20" s="4">
        <f t="shared" ca="1" si="31"/>
        <v>820632.34</v>
      </c>
      <c r="BW20" s="4">
        <f t="shared" ca="1" si="69"/>
        <v>1549263.2700000009</v>
      </c>
      <c r="BX20" s="211">
        <v>24088.48</v>
      </c>
      <c r="BY20" s="211">
        <v>72930</v>
      </c>
      <c r="BZ20" s="211">
        <v>30438.36</v>
      </c>
      <c r="CA20" s="211">
        <v>15461.88</v>
      </c>
      <c r="CB20" s="211">
        <v>15903</v>
      </c>
      <c r="CC20" s="211">
        <v>5074.68</v>
      </c>
      <c r="CD20" s="211">
        <v>3529.92</v>
      </c>
      <c r="CE20" s="211">
        <v>7800</v>
      </c>
      <c r="CF20" s="4">
        <f t="shared" si="70"/>
        <v>175226.32</v>
      </c>
      <c r="CG20" s="211">
        <v>219920.19000000041</v>
      </c>
      <c r="CH20" s="4">
        <f t="shared" ca="1" si="91"/>
        <v>1374036.9500000009</v>
      </c>
      <c r="CI20" s="211">
        <f t="shared" ca="1" si="71"/>
        <v>886400</v>
      </c>
      <c r="CJ20" s="4">
        <f t="shared" ca="1" si="72"/>
        <v>267716.76</v>
      </c>
      <c r="CK20" s="211">
        <f ca="1">ROUND(SUMIF(норм2016!$Q$11:$AR$76,$C20,норм2016!$BG$11:$BG$76),2)</f>
        <v>1154116.76</v>
      </c>
      <c r="CL20" s="211">
        <f t="shared" ca="1" si="73"/>
        <v>4.6566128730773926E-10</v>
      </c>
      <c r="CM20" s="4">
        <f t="shared" ca="1" si="35"/>
        <v>3163900.32</v>
      </c>
      <c r="CN20" s="4">
        <f t="shared" ca="1" si="36"/>
        <v>955634.74999999977</v>
      </c>
      <c r="CO20" s="4">
        <f t="shared" ca="1" si="37"/>
        <v>4119535.0699999994</v>
      </c>
      <c r="CP20" s="4">
        <f t="shared" ca="1" si="38"/>
        <v>18817000.32</v>
      </c>
      <c r="CQ20" s="4">
        <f t="shared" ca="1" si="39"/>
        <v>5682734.0999999996</v>
      </c>
      <c r="CR20" s="4">
        <f t="shared" ca="1" si="74"/>
        <v>24499734.420000002</v>
      </c>
      <c r="CS20" s="4">
        <f t="shared" ca="1" si="75"/>
        <v>17028346</v>
      </c>
      <c r="CT20" s="4">
        <f t="shared" ca="1" si="40"/>
        <v>1553677.5</v>
      </c>
      <c r="CU20" s="4">
        <f t="shared" si="41"/>
        <v>0</v>
      </c>
      <c r="CV20" s="4">
        <f t="shared" ca="1" si="76"/>
        <v>5773281.4800000004</v>
      </c>
      <c r="CW20" s="93">
        <f t="shared" ca="1" si="77"/>
        <v>24355304.98</v>
      </c>
      <c r="CX20" s="4">
        <f t="shared" ca="1" si="42"/>
        <v>0</v>
      </c>
      <c r="CY20" s="4">
        <f t="shared" ca="1" si="43"/>
        <v>0</v>
      </c>
      <c r="CZ20" s="4">
        <f t="shared" ca="1" si="78"/>
        <v>0</v>
      </c>
      <c r="DA20" s="216">
        <f t="shared" ca="1" si="44"/>
        <v>24355304.98</v>
      </c>
      <c r="DB20" s="4">
        <f t="shared" ca="1" si="45"/>
        <v>0</v>
      </c>
      <c r="DC20" s="211">
        <f t="shared" ca="1" si="46"/>
        <v>28474840.050000001</v>
      </c>
      <c r="DE20" s="4"/>
      <c r="DF20" s="4"/>
      <c r="DG20" s="4"/>
      <c r="DH20" s="4"/>
      <c r="DI20" s="4"/>
      <c r="DJ20" s="4"/>
      <c r="DK20" s="4">
        <f t="shared" ca="1" si="79"/>
        <v>87674.18</v>
      </c>
      <c r="DL20" s="4">
        <v>0</v>
      </c>
      <c r="DM20" s="4">
        <f t="shared" si="80"/>
        <v>0</v>
      </c>
      <c r="DN20" s="211">
        <f t="shared" si="81"/>
        <v>0</v>
      </c>
      <c r="DO20" s="218">
        <f t="shared" ca="1" si="82"/>
        <v>87674.18</v>
      </c>
      <c r="DP20" s="219">
        <f t="shared" ca="1" si="83"/>
        <v>28562514.23</v>
      </c>
      <c r="DQ20" s="8" t="s">
        <v>120</v>
      </c>
      <c r="EA20" s="1" t="s">
        <v>364</v>
      </c>
      <c r="EB20" s="10">
        <v>2782916.05</v>
      </c>
      <c r="EC20" s="223">
        <v>0</v>
      </c>
    </row>
    <row r="21" spans="1:133">
      <c r="A21" s="12">
        <v>12</v>
      </c>
      <c r="B21" s="3" t="s">
        <v>55</v>
      </c>
      <c r="C21" s="12" t="s">
        <v>211</v>
      </c>
      <c r="D21" s="102"/>
      <c r="E21" s="102"/>
      <c r="F21" s="102"/>
      <c r="G21" s="4">
        <v>494865.73999999987</v>
      </c>
      <c r="H21" s="211">
        <v>497207.35999999993</v>
      </c>
      <c r="I21" s="4">
        <f t="shared" si="47"/>
        <v>5966488.3199999994</v>
      </c>
      <c r="J21" s="4">
        <f t="shared" si="19"/>
        <v>1801879.47</v>
      </c>
      <c r="K21" s="4">
        <f t="shared" si="20"/>
        <v>7768367.7899999991</v>
      </c>
      <c r="L21" s="4">
        <f ca="1">SUMIF(норм2016!$Q$11:$AR$76,C21,норм2016!$AX$11:$AX$76)</f>
        <v>5500209</v>
      </c>
      <c r="M21" s="4">
        <f ca="1">SUMIF(норм2016!$Q$11:$AR$76,$C21,норм2016!$AY$11:$AY$76)</f>
        <v>3368880</v>
      </c>
      <c r="N21" s="4">
        <f t="shared" ca="1" si="21"/>
        <v>2587000</v>
      </c>
      <c r="O21" s="4">
        <f t="shared" ca="1" si="22"/>
        <v>781880</v>
      </c>
      <c r="P21" s="4">
        <f t="shared" ca="1" si="48"/>
        <v>3368880</v>
      </c>
      <c r="Q21" s="2"/>
      <c r="R21" s="2"/>
      <c r="S21" s="2"/>
      <c r="T21" s="2"/>
      <c r="U21" s="4">
        <f t="shared" ca="1" si="23"/>
        <v>3242288.3199999994</v>
      </c>
      <c r="V21" s="4">
        <f t="shared" ca="1" si="24"/>
        <v>978584.34</v>
      </c>
      <c r="W21" s="4">
        <f t="shared" ca="1" si="25"/>
        <v>4220872.6599999992</v>
      </c>
      <c r="X21" s="4">
        <f ca="1">SUMIF(норм2016!$Q$11:$AR$76,$C21,норм2016!$AZ$11:$AZ$76)</f>
        <v>2131329</v>
      </c>
      <c r="Y21" s="4">
        <f t="shared" ca="1" si="49"/>
        <v>1637000</v>
      </c>
      <c r="Z21" s="4">
        <f t="shared" ca="1" si="50"/>
        <v>494329</v>
      </c>
      <c r="AA21" s="4">
        <f t="shared" ca="1" si="26"/>
        <v>2131329</v>
      </c>
      <c r="AB21" s="211">
        <f t="shared" ca="1" si="51"/>
        <v>1605288.32</v>
      </c>
      <c r="AC21" s="4">
        <f t="shared" ca="1" si="52"/>
        <v>484255.33999999997</v>
      </c>
      <c r="AD21" s="4">
        <f t="shared" ca="1" si="27"/>
        <v>2089543.6600000001</v>
      </c>
      <c r="AE21" s="4">
        <f ca="1">SUMIF(норм2016!$Q$11:$AR$76,$C21,норм2016!$BC$11:$BC$76)</f>
        <v>1716100.18</v>
      </c>
      <c r="AF21" s="4">
        <f ca="1">SUMIF(норм2016!$Q$11:$AR$76,$C21,норм2016!$BM$11:$BM$76)</f>
        <v>845315.53</v>
      </c>
      <c r="AG21" s="4">
        <v>200750</v>
      </c>
      <c r="AH21" s="211">
        <v>569961.39</v>
      </c>
      <c r="AI21" s="4">
        <f>SUMIF(газ!$G$71:$G$147,C21,газ!$J$71:$J$147)*1000</f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f t="shared" si="53"/>
        <v>770711.39</v>
      </c>
      <c r="AR21" s="211">
        <f t="shared" ca="1" si="54"/>
        <v>74604.14</v>
      </c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211">
        <f t="shared" si="56"/>
        <v>0</v>
      </c>
      <c r="BD21" s="4">
        <f t="shared" ca="1" si="57"/>
        <v>74604.14</v>
      </c>
      <c r="BE21" s="4">
        <f t="shared" si="58"/>
        <v>200750</v>
      </c>
      <c r="BF21" s="4">
        <f t="shared" si="59"/>
        <v>569961.39</v>
      </c>
      <c r="BG21" s="4">
        <f t="shared" si="60"/>
        <v>0</v>
      </c>
      <c r="BH21" s="4">
        <f t="shared" si="61"/>
        <v>0</v>
      </c>
      <c r="BI21" s="4">
        <f t="shared" si="62"/>
        <v>0</v>
      </c>
      <c r="BJ21" s="4">
        <f t="shared" si="63"/>
        <v>0</v>
      </c>
      <c r="BK21" s="4">
        <f t="shared" si="64"/>
        <v>0</v>
      </c>
      <c r="BL21" s="4">
        <f t="shared" si="65"/>
        <v>0</v>
      </c>
      <c r="BM21" s="4">
        <f t="shared" si="66"/>
        <v>0</v>
      </c>
      <c r="BN21" s="4">
        <f t="shared" si="67"/>
        <v>0</v>
      </c>
      <c r="BO21" s="4">
        <f t="shared" si="68"/>
        <v>770711.39</v>
      </c>
      <c r="BP21" s="4">
        <v>0</v>
      </c>
      <c r="BQ21" s="211"/>
      <c r="BR21" s="4">
        <f t="shared" ca="1" si="29"/>
        <v>137200</v>
      </c>
      <c r="BS21" s="4">
        <f t="shared" ca="1" si="30"/>
        <v>41415.130000000005</v>
      </c>
      <c r="BT21" s="4">
        <f ca="1">SUMIF(норм2016!$Q$11:$AR$76,$C21,норм2016!$BE$11:$BE$76)</f>
        <v>178615.13</v>
      </c>
      <c r="BU21" s="4">
        <f ca="1">SUMIF(норм2016!$Q$11:$AR$76,$C21,норм2016!$BF$11:$BF$76)</f>
        <v>32960.339999999997</v>
      </c>
      <c r="BV21" s="4">
        <f t="shared" ca="1" si="31"/>
        <v>211575.47</v>
      </c>
      <c r="BW21" s="4">
        <f t="shared" ca="1" si="69"/>
        <v>733813.32</v>
      </c>
      <c r="BX21" s="211">
        <v>12597.76</v>
      </c>
      <c r="BY21" s="211"/>
      <c r="BZ21" s="211">
        <v>19074.96</v>
      </c>
      <c r="CA21" s="211">
        <v>4200</v>
      </c>
      <c r="CB21" s="211">
        <v>13142</v>
      </c>
      <c r="CC21" s="211"/>
      <c r="CD21" s="211">
        <v>1575</v>
      </c>
      <c r="CE21" s="211">
        <v>12900</v>
      </c>
      <c r="CF21" s="4">
        <f t="shared" si="70"/>
        <v>63489.72</v>
      </c>
      <c r="CG21" s="211">
        <v>123636.71999999997</v>
      </c>
      <c r="CH21" s="4">
        <f t="shared" ca="1" si="91"/>
        <v>670323.6</v>
      </c>
      <c r="CI21" s="211">
        <f t="shared" ca="1" si="71"/>
        <v>419900</v>
      </c>
      <c r="CJ21" s="4">
        <f t="shared" ca="1" si="72"/>
        <v>126786.88</v>
      </c>
      <c r="CK21" s="211">
        <f ca="1">ROUND(SUMIF(норм2016!$Q$11:$AR$76,$C21,норм2016!$BG$11:$BG$76),2)</f>
        <v>546686.88</v>
      </c>
      <c r="CL21" s="211">
        <f t="shared" ca="1" si="73"/>
        <v>0</v>
      </c>
      <c r="CM21" s="4">
        <f t="shared" ca="1" si="35"/>
        <v>1185388.32</v>
      </c>
      <c r="CN21" s="4">
        <f t="shared" ca="1" si="36"/>
        <v>357468.45999999996</v>
      </c>
      <c r="CO21" s="4">
        <f t="shared" ca="1" si="37"/>
        <v>1542856.78</v>
      </c>
      <c r="CP21" s="4">
        <f t="shared" ca="1" si="38"/>
        <v>5966488.3200000003</v>
      </c>
      <c r="CQ21" s="4">
        <f t="shared" ca="1" si="39"/>
        <v>1801879.4699999997</v>
      </c>
      <c r="CR21" s="4">
        <f t="shared" ca="1" si="74"/>
        <v>7768367.79</v>
      </c>
      <c r="CS21" s="4">
        <f t="shared" ca="1" si="75"/>
        <v>3368880</v>
      </c>
      <c r="CT21" s="4">
        <f t="shared" ca="1" si="40"/>
        <v>2131329</v>
      </c>
      <c r="CU21" s="4">
        <f t="shared" si="41"/>
        <v>0</v>
      </c>
      <c r="CV21" s="4">
        <f t="shared" ca="1" si="76"/>
        <v>1716100.18</v>
      </c>
      <c r="CW21" s="93">
        <f t="shared" ca="1" si="77"/>
        <v>7216309.1799999997</v>
      </c>
      <c r="CX21" s="4">
        <f t="shared" ca="1" si="42"/>
        <v>0</v>
      </c>
      <c r="CY21" s="4">
        <f t="shared" ca="1" si="43"/>
        <v>0</v>
      </c>
      <c r="CZ21" s="4">
        <f t="shared" ca="1" si="78"/>
        <v>0</v>
      </c>
      <c r="DA21" s="216">
        <f t="shared" ca="1" si="44"/>
        <v>7216309.1799999997</v>
      </c>
      <c r="DB21" s="4">
        <f t="shared" ca="1" si="45"/>
        <v>0</v>
      </c>
      <c r="DC21" s="211">
        <f t="shared" ca="1" si="46"/>
        <v>8759165.959999999</v>
      </c>
      <c r="DE21" s="4"/>
      <c r="DF21" s="4"/>
      <c r="DG21" s="4"/>
      <c r="DH21" s="4"/>
      <c r="DI21" s="4"/>
      <c r="DJ21" s="4"/>
      <c r="DK21" s="4">
        <f t="shared" si="79"/>
        <v>0</v>
      </c>
      <c r="DL21" s="4">
        <v>0</v>
      </c>
      <c r="DM21" s="4">
        <f t="shared" si="80"/>
        <v>0</v>
      </c>
      <c r="DN21" s="211">
        <f t="shared" si="81"/>
        <v>0</v>
      </c>
      <c r="DO21" s="218">
        <f t="shared" si="82"/>
        <v>0</v>
      </c>
      <c r="DP21" s="219">
        <f t="shared" ca="1" si="83"/>
        <v>8759165.959999999</v>
      </c>
      <c r="DQ21" s="8" t="s">
        <v>99</v>
      </c>
      <c r="EA21" s="1" t="s">
        <v>363</v>
      </c>
      <c r="EB21" s="10">
        <v>569961.39</v>
      </c>
      <c r="EC21" s="223">
        <v>0</v>
      </c>
    </row>
    <row r="22" spans="1:133">
      <c r="A22" s="12">
        <v>13</v>
      </c>
      <c r="B22" s="3" t="s">
        <v>56</v>
      </c>
      <c r="C22" s="12" t="s">
        <v>212</v>
      </c>
      <c r="D22" s="102"/>
      <c r="E22" s="102"/>
      <c r="F22" s="102"/>
      <c r="G22" s="4">
        <v>598257.19999999995</v>
      </c>
      <c r="H22" s="211">
        <v>600532.75999999989</v>
      </c>
      <c r="I22" s="4">
        <f t="shared" si="47"/>
        <v>7206393.1199999992</v>
      </c>
      <c r="J22" s="4">
        <f t="shared" si="19"/>
        <v>2176330.7200000002</v>
      </c>
      <c r="K22" s="4">
        <f t="shared" si="20"/>
        <v>9382723.8399999999</v>
      </c>
      <c r="L22" s="4">
        <f ca="1">SUMIF(норм2016!$Q$11:$AR$76,C22,норм2016!$AX$11:$AX$76)</f>
        <v>6590345</v>
      </c>
      <c r="M22" s="4">
        <f ca="1">SUMIF(норм2016!$Q$11:$AR$76,$C22,норм2016!$AY$11:$AY$76)</f>
        <v>5392927</v>
      </c>
      <c r="N22" s="4">
        <f t="shared" ca="1" si="21"/>
        <v>4142000</v>
      </c>
      <c r="O22" s="4">
        <f t="shared" ca="1" si="22"/>
        <v>1250927</v>
      </c>
      <c r="P22" s="4">
        <f t="shared" ca="1" si="48"/>
        <v>5392927</v>
      </c>
      <c r="Q22" s="2"/>
      <c r="R22" s="2"/>
      <c r="S22" s="2"/>
      <c r="T22" s="2"/>
      <c r="U22" s="4">
        <f t="shared" ca="1" si="23"/>
        <v>2935293.1199999992</v>
      </c>
      <c r="V22" s="4">
        <f t="shared" ca="1" si="24"/>
        <v>886379.79000000027</v>
      </c>
      <c r="W22" s="4">
        <f t="shared" ca="1" si="25"/>
        <v>3821672.9099999992</v>
      </c>
      <c r="X22" s="4">
        <f ca="1">SUMIF(норм2016!$Q$11:$AR$76,$C22,норм2016!$AZ$11:$AZ$76)</f>
        <v>1197418</v>
      </c>
      <c r="Y22" s="4">
        <f t="shared" ca="1" si="49"/>
        <v>920000</v>
      </c>
      <c r="Z22" s="4">
        <f t="shared" ca="1" si="50"/>
        <v>277418</v>
      </c>
      <c r="AA22" s="4">
        <f t="shared" ca="1" si="26"/>
        <v>1197418</v>
      </c>
      <c r="AB22" s="211">
        <f t="shared" ca="1" si="51"/>
        <v>2015293.12</v>
      </c>
      <c r="AC22" s="4">
        <f t="shared" ca="1" si="52"/>
        <v>608961.79000000027</v>
      </c>
      <c r="AD22" s="4">
        <f t="shared" ca="1" si="27"/>
        <v>2624254.91</v>
      </c>
      <c r="AE22" s="4">
        <f ca="1">SUMIF(норм2016!$Q$11:$AR$76,$C22,норм2016!$BC$11:$BC$76)</f>
        <v>2353949.7400000002</v>
      </c>
      <c r="AF22" s="4">
        <f ca="1">SUMIF(норм2016!$Q$11:$AR$76,$C22,норм2016!$BM$11:$BM$76)</f>
        <v>1479578.82</v>
      </c>
      <c r="AG22" s="4">
        <v>280500</v>
      </c>
      <c r="AH22" s="211">
        <v>1258568.46</v>
      </c>
      <c r="AI22" s="4">
        <f>SUMIF(газ!$G$71:$G$147,C22,газ!$J$71:$J$147)*1000</f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f t="shared" si="53"/>
        <v>1539068.46</v>
      </c>
      <c r="AR22" s="211">
        <f t="shared" ca="1" si="54"/>
        <v>-59489.64</v>
      </c>
      <c r="AS22" s="4"/>
      <c r="AT22" s="4">
        <f t="shared" ca="1" si="89"/>
        <v>59489.64</v>
      </c>
      <c r="AU22" s="4"/>
      <c r="AV22" s="4"/>
      <c r="AW22" s="4"/>
      <c r="AX22" s="4"/>
      <c r="AY22" s="4"/>
      <c r="AZ22" s="4"/>
      <c r="BA22" s="4"/>
      <c r="BB22" s="4"/>
      <c r="BC22" s="211">
        <f t="shared" ca="1" si="56"/>
        <v>59489.64</v>
      </c>
      <c r="BD22" s="4">
        <f t="shared" ca="1" si="57"/>
        <v>0</v>
      </c>
      <c r="BE22" s="4">
        <f t="shared" si="58"/>
        <v>280500</v>
      </c>
      <c r="BF22" s="4">
        <f t="shared" ca="1" si="59"/>
        <v>1199078.82</v>
      </c>
      <c r="BG22" s="4">
        <f t="shared" si="60"/>
        <v>0</v>
      </c>
      <c r="BH22" s="4">
        <f t="shared" si="61"/>
        <v>0</v>
      </c>
      <c r="BI22" s="4">
        <f t="shared" si="62"/>
        <v>0</v>
      </c>
      <c r="BJ22" s="4">
        <f t="shared" si="63"/>
        <v>0</v>
      </c>
      <c r="BK22" s="4">
        <f t="shared" si="64"/>
        <v>0</v>
      </c>
      <c r="BL22" s="4">
        <f t="shared" si="65"/>
        <v>0</v>
      </c>
      <c r="BM22" s="4">
        <f t="shared" si="66"/>
        <v>0</v>
      </c>
      <c r="BN22" s="4">
        <f t="shared" si="67"/>
        <v>0</v>
      </c>
      <c r="BO22" s="4">
        <f t="shared" ca="1" si="68"/>
        <v>1479578.82</v>
      </c>
      <c r="BP22" s="4">
        <v>0</v>
      </c>
      <c r="BQ22" s="211">
        <v>162835</v>
      </c>
      <c r="BR22" s="4">
        <f t="shared" ca="1" si="29"/>
        <v>129100</v>
      </c>
      <c r="BS22" s="4">
        <f t="shared" ca="1" si="30"/>
        <v>39023.929999999993</v>
      </c>
      <c r="BT22" s="4">
        <f ca="1">SUMIF(норм2016!$Q$11:$AR$76,$C22,норм2016!$BE$11:$BE$76)</f>
        <v>168123.93</v>
      </c>
      <c r="BU22" s="4">
        <f ca="1">SUMIF(норм2016!$Q$11:$AR$76,$C22,норм2016!$BF$11:$BF$76)</f>
        <v>29428.880000000001</v>
      </c>
      <c r="BV22" s="4">
        <f t="shared" ca="1" si="31"/>
        <v>197552.81</v>
      </c>
      <c r="BW22" s="4">
        <f t="shared" ca="1" si="69"/>
        <v>676818.1100000001</v>
      </c>
      <c r="BX22" s="211"/>
      <c r="BY22" s="211"/>
      <c r="BZ22" s="211">
        <v>19641.36</v>
      </c>
      <c r="CA22" s="211">
        <v>4200</v>
      </c>
      <c r="CB22" s="211">
        <v>13142</v>
      </c>
      <c r="CC22" s="211">
        <v>17228.48</v>
      </c>
      <c r="CD22" s="115">
        <f>162835-162835</f>
        <v>0</v>
      </c>
      <c r="CE22" s="211">
        <v>24600</v>
      </c>
      <c r="CF22" s="4">
        <f t="shared" si="70"/>
        <v>78811.839999999997</v>
      </c>
      <c r="CG22" s="211">
        <v>51319.39000000013</v>
      </c>
      <c r="CH22" s="4">
        <f t="shared" ca="1" si="91"/>
        <v>598006.27000000014</v>
      </c>
      <c r="CI22" s="211">
        <f t="shared" ca="1" si="71"/>
        <v>419900</v>
      </c>
      <c r="CJ22" s="4">
        <f t="shared" ca="1" si="72"/>
        <v>126786.88</v>
      </c>
      <c r="CK22" s="211">
        <f ca="1">ROUND(SUMIF(норм2016!$Q$11:$AR$76,$C22,норм2016!$BG$11:$BG$76),2)</f>
        <v>546686.88</v>
      </c>
      <c r="CL22" s="211">
        <f t="shared" ca="1" si="73"/>
        <v>0</v>
      </c>
      <c r="CM22" s="4">
        <f t="shared" ca="1" si="35"/>
        <v>1595393.12</v>
      </c>
      <c r="CN22" s="4">
        <f t="shared" ca="1" si="36"/>
        <v>482174.91000000027</v>
      </c>
      <c r="CO22" s="4">
        <f t="shared" ca="1" si="37"/>
        <v>2077568.0300000003</v>
      </c>
      <c r="CP22" s="4">
        <f t="shared" ca="1" si="38"/>
        <v>7206393.1200000001</v>
      </c>
      <c r="CQ22" s="4">
        <f t="shared" ca="1" si="39"/>
        <v>2176330.7200000002</v>
      </c>
      <c r="CR22" s="4">
        <f t="shared" ca="1" si="74"/>
        <v>9382723.8399999999</v>
      </c>
      <c r="CS22" s="4">
        <f t="shared" ca="1" si="75"/>
        <v>5392927</v>
      </c>
      <c r="CT22" s="4">
        <f t="shared" ca="1" si="40"/>
        <v>1197418</v>
      </c>
      <c r="CU22" s="4">
        <f t="shared" si="41"/>
        <v>0</v>
      </c>
      <c r="CV22" s="4">
        <f t="shared" ca="1" si="76"/>
        <v>2353949.7400000002</v>
      </c>
      <c r="CW22" s="93">
        <f t="shared" ca="1" si="77"/>
        <v>8944294.7400000002</v>
      </c>
      <c r="CX22" s="4">
        <f t="shared" ca="1" si="42"/>
        <v>0</v>
      </c>
      <c r="CY22" s="4">
        <f t="shared" ca="1" si="43"/>
        <v>0</v>
      </c>
      <c r="CZ22" s="4">
        <f t="shared" ca="1" si="78"/>
        <v>0</v>
      </c>
      <c r="DA22" s="216">
        <f t="shared" ca="1" si="44"/>
        <v>8944294.7400000002</v>
      </c>
      <c r="DB22" s="4">
        <f t="shared" ca="1" si="45"/>
        <v>0</v>
      </c>
      <c r="DC22" s="211">
        <f t="shared" ca="1" si="46"/>
        <v>11021862.77</v>
      </c>
      <c r="DE22" s="4"/>
      <c r="DF22" s="4"/>
      <c r="DG22" s="4"/>
      <c r="DH22" s="4"/>
      <c r="DI22" s="4"/>
      <c r="DJ22" s="4"/>
      <c r="DK22" s="4">
        <f t="shared" ca="1" si="79"/>
        <v>59489.64</v>
      </c>
      <c r="DL22" s="4">
        <v>0</v>
      </c>
      <c r="DM22" s="4">
        <f t="shared" si="80"/>
        <v>0</v>
      </c>
      <c r="DN22" s="211">
        <f t="shared" si="81"/>
        <v>162835</v>
      </c>
      <c r="DO22" s="218">
        <f t="shared" ca="1" si="82"/>
        <v>222324.64</v>
      </c>
      <c r="DP22" s="219">
        <f t="shared" ca="1" si="83"/>
        <v>11244187.41</v>
      </c>
      <c r="DQ22" s="8" t="s">
        <v>109</v>
      </c>
      <c r="EA22" s="1" t="s">
        <v>363</v>
      </c>
      <c r="EB22" s="10">
        <v>1258568.46</v>
      </c>
      <c r="EC22" s="223">
        <v>0</v>
      </c>
    </row>
    <row r="23" spans="1:133">
      <c r="A23" s="12">
        <v>14</v>
      </c>
      <c r="B23" s="3" t="s">
        <v>57</v>
      </c>
      <c r="C23" s="12" t="s">
        <v>214</v>
      </c>
      <c r="D23" s="102"/>
      <c r="E23" s="102"/>
      <c r="F23" s="102"/>
      <c r="G23" s="4">
        <v>539094.81999999995</v>
      </c>
      <c r="H23" s="211">
        <v>546949.5399999998</v>
      </c>
      <c r="I23" s="4">
        <f t="shared" si="47"/>
        <v>6563394.4799999977</v>
      </c>
      <c r="J23" s="4">
        <f t="shared" si="19"/>
        <v>1982145.13</v>
      </c>
      <c r="K23" s="4">
        <f t="shared" si="20"/>
        <v>8545539.6099999975</v>
      </c>
      <c r="L23" s="4">
        <f ca="1">SUMIF(норм2016!$Q$11:$AR$76,C23,норм2016!$AX$11:$AX$76)</f>
        <v>5885190.5</v>
      </c>
      <c r="M23" s="4">
        <f ca="1">SUMIF(норм2016!$Q$11:$AR$76,$C23,норм2016!$AY$11:$AY$76)</f>
        <v>4025803</v>
      </c>
      <c r="N23" s="4">
        <f t="shared" ca="1" si="21"/>
        <v>3092000</v>
      </c>
      <c r="O23" s="4">
        <f t="shared" ca="1" si="22"/>
        <v>933803</v>
      </c>
      <c r="P23" s="4">
        <f t="shared" ca="1" si="48"/>
        <v>4025803</v>
      </c>
      <c r="Q23" s="2"/>
      <c r="R23" s="2"/>
      <c r="S23" s="2"/>
      <c r="T23" s="2"/>
      <c r="U23" s="4">
        <f t="shared" ca="1" si="23"/>
        <v>3288494.4799999977</v>
      </c>
      <c r="V23" s="4">
        <f t="shared" ca="1" si="24"/>
        <v>993054.55999999982</v>
      </c>
      <c r="W23" s="4">
        <f t="shared" ca="1" si="25"/>
        <v>4281549.0399999972</v>
      </c>
      <c r="X23" s="4">
        <f ca="1">SUMIF(норм2016!$Q$11:$AR$76,$C23,норм2016!$AZ$11:$AZ$76)</f>
        <v>1859387.5</v>
      </c>
      <c r="Y23" s="4">
        <f t="shared" ca="1" si="49"/>
        <v>1428000</v>
      </c>
      <c r="Z23" s="4">
        <f t="shared" ca="1" si="50"/>
        <v>431387.5</v>
      </c>
      <c r="AA23" s="4">
        <f t="shared" ca="1" si="26"/>
        <v>1859387.5</v>
      </c>
      <c r="AB23" s="211">
        <f t="shared" ca="1" si="51"/>
        <v>1860494.48</v>
      </c>
      <c r="AC23" s="4">
        <f t="shared" ca="1" si="52"/>
        <v>561667.05999999982</v>
      </c>
      <c r="AD23" s="4">
        <f t="shared" ca="1" si="27"/>
        <v>2422161.54</v>
      </c>
      <c r="AE23" s="4">
        <f ca="1">SUMIF(норм2016!$Q$11:$AR$76,$C23,норм2016!$BC$11:$BC$76)</f>
        <v>1727359.32</v>
      </c>
      <c r="AF23" s="4">
        <f ca="1">SUMIF(норм2016!$Q$11:$AR$76,$C23,норм2016!$BM$11:$BM$76)</f>
        <v>780541.8</v>
      </c>
      <c r="AG23" s="4">
        <v>0</v>
      </c>
      <c r="AH23" s="211">
        <v>736702.95</v>
      </c>
      <c r="AI23" s="4">
        <f>SUMIF(газ!$G$71:$G$147,C23,газ!$J$71:$J$147)*1000</f>
        <v>0</v>
      </c>
      <c r="AJ23" s="4">
        <v>0</v>
      </c>
      <c r="AK23" s="4">
        <v>0</v>
      </c>
      <c r="AL23" s="4">
        <v>70000</v>
      </c>
      <c r="AM23" s="4">
        <v>0</v>
      </c>
      <c r="AN23" s="4">
        <v>0</v>
      </c>
      <c r="AO23" s="4">
        <v>0</v>
      </c>
      <c r="AP23" s="4">
        <v>0</v>
      </c>
      <c r="AQ23" s="4">
        <f t="shared" si="53"/>
        <v>806702.95</v>
      </c>
      <c r="AR23" s="211">
        <f t="shared" ca="1" si="54"/>
        <v>-26161.15</v>
      </c>
      <c r="AS23" s="4"/>
      <c r="AT23" s="4">
        <f t="shared" ca="1" si="89"/>
        <v>26161.15</v>
      </c>
      <c r="AU23" s="4"/>
      <c r="AV23" s="4"/>
      <c r="AW23" s="4"/>
      <c r="AX23" s="4"/>
      <c r="AY23" s="4"/>
      <c r="AZ23" s="4"/>
      <c r="BA23" s="4"/>
      <c r="BB23" s="4"/>
      <c r="BC23" s="211">
        <f t="shared" ca="1" si="56"/>
        <v>26161.15</v>
      </c>
      <c r="BD23" s="4">
        <f t="shared" ca="1" si="57"/>
        <v>0</v>
      </c>
      <c r="BE23" s="4">
        <f t="shared" si="58"/>
        <v>0</v>
      </c>
      <c r="BF23" s="4">
        <f t="shared" ca="1" si="59"/>
        <v>710541.79999999993</v>
      </c>
      <c r="BG23" s="4">
        <f t="shared" si="60"/>
        <v>0</v>
      </c>
      <c r="BH23" s="4">
        <f t="shared" si="61"/>
        <v>0</v>
      </c>
      <c r="BI23" s="4">
        <f t="shared" si="62"/>
        <v>0</v>
      </c>
      <c r="BJ23" s="4">
        <f t="shared" si="63"/>
        <v>70000</v>
      </c>
      <c r="BK23" s="4">
        <f t="shared" si="64"/>
        <v>0</v>
      </c>
      <c r="BL23" s="4">
        <f t="shared" si="65"/>
        <v>0</v>
      </c>
      <c r="BM23" s="4">
        <f t="shared" si="66"/>
        <v>0</v>
      </c>
      <c r="BN23" s="4">
        <f t="shared" si="67"/>
        <v>0</v>
      </c>
      <c r="BO23" s="4">
        <f t="shared" ca="1" si="68"/>
        <v>780541.79999999993</v>
      </c>
      <c r="BP23" s="4">
        <v>0</v>
      </c>
      <c r="BQ23" s="211"/>
      <c r="BR23" s="4">
        <f t="shared" ca="1" si="29"/>
        <v>182900</v>
      </c>
      <c r="BS23" s="4">
        <f t="shared" ca="1" si="30"/>
        <v>55287.570000000007</v>
      </c>
      <c r="BT23" s="4">
        <f ca="1">SUMIF(норм2016!$Q$11:$AR$76,$C23,норм2016!$BE$11:$BE$76)</f>
        <v>238187.57</v>
      </c>
      <c r="BU23" s="4">
        <f ca="1">SUMIF(норм2016!$Q$11:$AR$76,$C23,норм2016!$BF$11:$BF$76)</f>
        <v>28251.72</v>
      </c>
      <c r="BV23" s="4">
        <f t="shared" ca="1" si="31"/>
        <v>266439.29000000004</v>
      </c>
      <c r="BW23" s="4">
        <f t="shared" ca="1" si="69"/>
        <v>680378.2300000001</v>
      </c>
      <c r="BX23" s="211">
        <v>12001.92</v>
      </c>
      <c r="BY23" s="211"/>
      <c r="BZ23" s="211">
        <v>20390.400000000001</v>
      </c>
      <c r="CA23" s="211">
        <v>4200</v>
      </c>
      <c r="CB23" s="211">
        <v>13142</v>
      </c>
      <c r="CC23" s="211"/>
      <c r="CD23" s="211">
        <v>25091</v>
      </c>
      <c r="CE23" s="211"/>
      <c r="CF23" s="4">
        <f t="shared" si="70"/>
        <v>74825.320000000007</v>
      </c>
      <c r="CG23" s="211">
        <v>58866.029999999912</v>
      </c>
      <c r="CH23" s="4">
        <f t="shared" ca="1" si="91"/>
        <v>605552.91000000015</v>
      </c>
      <c r="CI23" s="211">
        <f t="shared" ca="1" si="71"/>
        <v>419900</v>
      </c>
      <c r="CJ23" s="4">
        <f t="shared" ca="1" si="72"/>
        <v>126786.88</v>
      </c>
      <c r="CK23" s="211">
        <f ca="1">ROUND(SUMIF(норм2016!$Q$11:$AR$76,$C23,норм2016!$BG$11:$BG$76),2)</f>
        <v>546686.88</v>
      </c>
      <c r="CL23" s="211">
        <f t="shared" ca="1" si="73"/>
        <v>2.3283064365386963E-10</v>
      </c>
      <c r="CM23" s="4">
        <f t="shared" ca="1" si="35"/>
        <v>1440594.48</v>
      </c>
      <c r="CN23" s="4">
        <f t="shared" ca="1" si="36"/>
        <v>434880.17999999982</v>
      </c>
      <c r="CO23" s="4">
        <f t="shared" ca="1" si="37"/>
        <v>1875474.6599999997</v>
      </c>
      <c r="CP23" s="4">
        <f t="shared" ca="1" si="38"/>
        <v>6563394.4800000004</v>
      </c>
      <c r="CQ23" s="4">
        <f t="shared" ca="1" si="39"/>
        <v>1982145.1299999997</v>
      </c>
      <c r="CR23" s="4">
        <f t="shared" ca="1" si="74"/>
        <v>8545539.6099999994</v>
      </c>
      <c r="CS23" s="4">
        <f t="shared" ca="1" si="75"/>
        <v>4025803</v>
      </c>
      <c r="CT23" s="4">
        <f t="shared" ca="1" si="40"/>
        <v>1859387.5</v>
      </c>
      <c r="CU23" s="4">
        <f t="shared" si="41"/>
        <v>0</v>
      </c>
      <c r="CV23" s="4">
        <f t="shared" ca="1" si="76"/>
        <v>1727359.32</v>
      </c>
      <c r="CW23" s="93">
        <f t="shared" ca="1" si="77"/>
        <v>7612549.8200000003</v>
      </c>
      <c r="CX23" s="4">
        <f t="shared" ca="1" si="42"/>
        <v>0</v>
      </c>
      <c r="CY23" s="4">
        <f t="shared" ca="1" si="43"/>
        <v>0</v>
      </c>
      <c r="CZ23" s="4">
        <f t="shared" ca="1" si="78"/>
        <v>0</v>
      </c>
      <c r="DA23" s="216">
        <f t="shared" ca="1" si="44"/>
        <v>7612549.8200000003</v>
      </c>
      <c r="DB23" s="4">
        <f t="shared" ca="1" si="45"/>
        <v>0</v>
      </c>
      <c r="DC23" s="211">
        <f t="shared" ca="1" si="46"/>
        <v>9488024.4800000004</v>
      </c>
      <c r="DE23" s="4"/>
      <c r="DF23" s="4"/>
      <c r="DG23" s="4"/>
      <c r="DH23" s="4"/>
      <c r="DI23" s="4"/>
      <c r="DJ23" s="4"/>
      <c r="DK23" s="4">
        <f t="shared" ca="1" si="79"/>
        <v>26161.15</v>
      </c>
      <c r="DL23" s="4">
        <v>0</v>
      </c>
      <c r="DM23" s="4">
        <f t="shared" si="80"/>
        <v>0</v>
      </c>
      <c r="DN23" s="211">
        <f t="shared" si="81"/>
        <v>0</v>
      </c>
      <c r="DO23" s="218">
        <f t="shared" ca="1" si="82"/>
        <v>26161.15</v>
      </c>
      <c r="DP23" s="219">
        <f t="shared" ca="1" si="83"/>
        <v>9514185.6300000008</v>
      </c>
      <c r="DQ23" s="8" t="s">
        <v>96</v>
      </c>
      <c r="EA23" s="1" t="s">
        <v>363</v>
      </c>
      <c r="EB23" s="10">
        <v>736702.95</v>
      </c>
      <c r="EC23" s="223">
        <v>0</v>
      </c>
    </row>
    <row r="24" spans="1:133">
      <c r="A24" s="12">
        <v>15</v>
      </c>
      <c r="B24" s="3" t="s">
        <v>58</v>
      </c>
      <c r="C24" s="12" t="s">
        <v>215</v>
      </c>
      <c r="D24" s="102"/>
      <c r="E24" s="102"/>
      <c r="F24" s="102"/>
      <c r="G24" s="4">
        <v>547884.52999999991</v>
      </c>
      <c r="H24" s="211">
        <v>561644.04999999993</v>
      </c>
      <c r="I24" s="4">
        <f t="shared" si="47"/>
        <v>6739728.5999999996</v>
      </c>
      <c r="J24" s="4">
        <f t="shared" si="19"/>
        <v>2035398.04</v>
      </c>
      <c r="K24" s="4">
        <f t="shared" si="20"/>
        <v>8775126.6400000006</v>
      </c>
      <c r="L24" s="4">
        <f ca="1">SUMIF(норм2016!$Q$11:$AR$76,C24,норм2016!$AX$11:$AX$76)</f>
        <v>6010636</v>
      </c>
      <c r="M24" s="4">
        <f ca="1">SUMIF(норм2016!$Q$11:$AR$76,$C24,норм2016!$AY$11:$AY$76)</f>
        <v>4603804</v>
      </c>
      <c r="N24" s="4">
        <f t="shared" ca="1" si="21"/>
        <v>3536000</v>
      </c>
      <c r="O24" s="4">
        <f t="shared" ca="1" si="22"/>
        <v>1067804</v>
      </c>
      <c r="P24" s="4">
        <f t="shared" ca="1" si="48"/>
        <v>4603804</v>
      </c>
      <c r="Q24" s="2"/>
      <c r="R24" s="2"/>
      <c r="S24" s="2"/>
      <c r="T24" s="2"/>
      <c r="U24" s="4">
        <f t="shared" ca="1" si="23"/>
        <v>3020828.5999999996</v>
      </c>
      <c r="V24" s="4">
        <f t="shared" ca="1" si="24"/>
        <v>912306.47</v>
      </c>
      <c r="W24" s="4">
        <f t="shared" ca="1" si="25"/>
        <v>3933135.0699999994</v>
      </c>
      <c r="X24" s="4">
        <f ca="1">SUMIF(норм2016!$Q$11:$AR$76,$C24,норм2016!$AZ$11:$AZ$76)</f>
        <v>1406832</v>
      </c>
      <c r="Y24" s="4">
        <f t="shared" ca="1" si="49"/>
        <v>1081000</v>
      </c>
      <c r="Z24" s="4">
        <f t="shared" ca="1" si="50"/>
        <v>325832</v>
      </c>
      <c r="AA24" s="4">
        <f t="shared" ca="1" si="26"/>
        <v>1406832</v>
      </c>
      <c r="AB24" s="211">
        <f t="shared" ca="1" si="51"/>
        <v>1939828.6</v>
      </c>
      <c r="AC24" s="4">
        <f t="shared" ca="1" si="52"/>
        <v>586474.47</v>
      </c>
      <c r="AD24" s="4">
        <f t="shared" ca="1" si="27"/>
        <v>2526303.0700000003</v>
      </c>
      <c r="AE24" s="4">
        <f ca="1">SUMIF(норм2016!$Q$11:$AR$76,$C24,норм2016!$BC$11:$BC$76)</f>
        <v>2296393.4300000002</v>
      </c>
      <c r="AF24" s="4">
        <f ca="1">SUMIF(норм2016!$Q$11:$AR$76,$C24,норм2016!$BM$11:$BM$76)</f>
        <v>1365707.02</v>
      </c>
      <c r="AG24" s="4">
        <v>115500</v>
      </c>
      <c r="AH24" s="211">
        <v>1059286.53</v>
      </c>
      <c r="AI24" s="4">
        <f>SUMIF(газ!$G$71:$G$147,C24,газ!$J$71:$J$147)*1000</f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f t="shared" si="53"/>
        <v>1174786.53</v>
      </c>
      <c r="AR24" s="211">
        <f t="shared" ca="1" si="54"/>
        <v>190920.49</v>
      </c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211">
        <f t="shared" si="56"/>
        <v>0</v>
      </c>
      <c r="BD24" s="4">
        <f t="shared" ca="1" si="57"/>
        <v>190920.49</v>
      </c>
      <c r="BE24" s="4">
        <f t="shared" si="58"/>
        <v>115500</v>
      </c>
      <c r="BF24" s="4">
        <f t="shared" si="59"/>
        <v>1059286.53</v>
      </c>
      <c r="BG24" s="4">
        <f t="shared" si="60"/>
        <v>0</v>
      </c>
      <c r="BH24" s="4">
        <f t="shared" si="61"/>
        <v>0</v>
      </c>
      <c r="BI24" s="4">
        <f t="shared" si="62"/>
        <v>0</v>
      </c>
      <c r="BJ24" s="4">
        <f t="shared" si="63"/>
        <v>0</v>
      </c>
      <c r="BK24" s="4">
        <f t="shared" si="64"/>
        <v>0</v>
      </c>
      <c r="BL24" s="4">
        <f t="shared" si="65"/>
        <v>0</v>
      </c>
      <c r="BM24" s="4">
        <f t="shared" si="66"/>
        <v>0</v>
      </c>
      <c r="BN24" s="4">
        <f t="shared" si="67"/>
        <v>0</v>
      </c>
      <c r="BO24" s="4">
        <f t="shared" si="68"/>
        <v>1174786.53</v>
      </c>
      <c r="BP24" s="4">
        <v>0</v>
      </c>
      <c r="BQ24" s="211"/>
      <c r="BR24" s="4">
        <f t="shared" ca="1" si="29"/>
        <v>182900</v>
      </c>
      <c r="BS24" s="4">
        <f t="shared" ca="1" si="30"/>
        <v>55287.570000000007</v>
      </c>
      <c r="BT24" s="4">
        <f ca="1">SUMIF(норм2016!$Q$11:$AR$76,$C24,норм2016!$BE$11:$BE$76)</f>
        <v>238187.57</v>
      </c>
      <c r="BU24" s="4">
        <f ca="1">SUMIF(норм2016!$Q$11:$AR$76,$C24,норм2016!$BF$11:$BF$76)</f>
        <v>0</v>
      </c>
      <c r="BV24" s="4">
        <f t="shared" ca="1" si="31"/>
        <v>238187.57</v>
      </c>
      <c r="BW24" s="4">
        <f t="shared" ca="1" si="69"/>
        <v>883419.33000000007</v>
      </c>
      <c r="BX24" s="211">
        <v>10049.200000000001</v>
      </c>
      <c r="BY24" s="211"/>
      <c r="BZ24" s="211">
        <v>19116</v>
      </c>
      <c r="CA24" s="211">
        <v>4200</v>
      </c>
      <c r="CB24" s="211">
        <v>13142</v>
      </c>
      <c r="CC24" s="211"/>
      <c r="CD24" s="211">
        <v>1260</v>
      </c>
      <c r="CE24" s="211">
        <v>9900</v>
      </c>
      <c r="CF24" s="4">
        <f t="shared" si="70"/>
        <v>57667.199999999997</v>
      </c>
      <c r="CG24" s="211">
        <v>279065.25000000012</v>
      </c>
      <c r="CH24" s="4">
        <f t="shared" ca="1" si="91"/>
        <v>825752.13000000012</v>
      </c>
      <c r="CI24" s="211">
        <f t="shared" ca="1" si="71"/>
        <v>419900</v>
      </c>
      <c r="CJ24" s="4">
        <f t="shared" ca="1" si="72"/>
        <v>126786.88</v>
      </c>
      <c r="CK24" s="211">
        <f ca="1">ROUND(SUMIF(норм2016!$Q$11:$AR$76,$C24,норм2016!$BG$11:$BG$76),2)</f>
        <v>546686.88</v>
      </c>
      <c r="CL24" s="211">
        <f t="shared" ca="1" si="73"/>
        <v>0</v>
      </c>
      <c r="CM24" s="4">
        <f t="shared" ca="1" si="35"/>
        <v>1519928.6</v>
      </c>
      <c r="CN24" s="4">
        <f t="shared" ca="1" si="36"/>
        <v>459687.58999999997</v>
      </c>
      <c r="CO24" s="4">
        <f t="shared" ca="1" si="37"/>
        <v>1979616.19</v>
      </c>
      <c r="CP24" s="4">
        <f t="shared" ca="1" si="38"/>
        <v>6739728.5999999996</v>
      </c>
      <c r="CQ24" s="4">
        <f t="shared" ca="1" si="39"/>
        <v>2035398.0399999998</v>
      </c>
      <c r="CR24" s="4">
        <f t="shared" ca="1" si="74"/>
        <v>8775126.6399999987</v>
      </c>
      <c r="CS24" s="4">
        <f t="shared" ca="1" si="75"/>
        <v>4603804</v>
      </c>
      <c r="CT24" s="4">
        <f t="shared" ca="1" si="40"/>
        <v>1406832</v>
      </c>
      <c r="CU24" s="4">
        <f t="shared" si="41"/>
        <v>0</v>
      </c>
      <c r="CV24" s="4">
        <f t="shared" ca="1" si="76"/>
        <v>2296393.4300000002</v>
      </c>
      <c r="CW24" s="93">
        <f t="shared" ca="1" si="77"/>
        <v>8307029.4299999997</v>
      </c>
      <c r="CX24" s="4">
        <f t="shared" ca="1" si="42"/>
        <v>0</v>
      </c>
      <c r="CY24" s="4">
        <f t="shared" ca="1" si="43"/>
        <v>0</v>
      </c>
      <c r="CZ24" s="4">
        <f t="shared" ca="1" si="78"/>
        <v>0</v>
      </c>
      <c r="DA24" s="216">
        <f t="shared" ca="1" si="44"/>
        <v>8307029.4299999997</v>
      </c>
      <c r="DB24" s="4">
        <f t="shared" ca="1" si="45"/>
        <v>0</v>
      </c>
      <c r="DC24" s="211">
        <f t="shared" ca="1" si="46"/>
        <v>10286645.619999999</v>
      </c>
      <c r="DE24" s="4"/>
      <c r="DF24" s="4"/>
      <c r="DG24" s="4"/>
      <c r="DH24" s="4"/>
      <c r="DI24" s="4"/>
      <c r="DJ24" s="4"/>
      <c r="DK24" s="4">
        <f t="shared" si="79"/>
        <v>0</v>
      </c>
      <c r="DL24" s="4">
        <v>0</v>
      </c>
      <c r="DM24" s="4">
        <f t="shared" si="80"/>
        <v>0</v>
      </c>
      <c r="DN24" s="211">
        <f t="shared" si="81"/>
        <v>0</v>
      </c>
      <c r="DO24" s="218">
        <f t="shared" si="82"/>
        <v>0</v>
      </c>
      <c r="DP24" s="219">
        <f t="shared" ca="1" si="83"/>
        <v>10286645.619999999</v>
      </c>
      <c r="DQ24" s="8" t="s">
        <v>110</v>
      </c>
      <c r="EA24" s="1" t="s">
        <v>363</v>
      </c>
      <c r="EB24" s="10">
        <v>1059286.53</v>
      </c>
      <c r="EC24" s="223">
        <v>0</v>
      </c>
    </row>
    <row r="25" spans="1:133">
      <c r="A25" s="12">
        <v>16</v>
      </c>
      <c r="B25" s="3" t="s">
        <v>60</v>
      </c>
      <c r="C25" s="12" t="s">
        <v>216</v>
      </c>
      <c r="D25" s="102"/>
      <c r="E25" s="102"/>
      <c r="F25" s="102"/>
      <c r="G25" s="4">
        <v>676391.83999999973</v>
      </c>
      <c r="H25" s="211">
        <v>652909.35000000021</v>
      </c>
      <c r="I25" s="4">
        <f t="shared" si="47"/>
        <v>7834912.200000003</v>
      </c>
      <c r="J25" s="4">
        <f t="shared" si="19"/>
        <v>2366143.48</v>
      </c>
      <c r="K25" s="4">
        <f t="shared" si="20"/>
        <v>10201055.680000003</v>
      </c>
      <c r="L25" s="4">
        <f ca="1">SUMIF(норм2016!$Q$11:$AR$76,C25,норм2016!$AX$11:$AX$76)</f>
        <v>7425618</v>
      </c>
      <c r="M25" s="4">
        <f ca="1">SUMIF(норм2016!$Q$11:$AR$76,$C25,норм2016!$AY$11:$AY$76)</f>
        <v>5469712</v>
      </c>
      <c r="N25" s="4">
        <f t="shared" ca="1" si="21"/>
        <v>4201000</v>
      </c>
      <c r="O25" s="4">
        <f t="shared" ca="1" si="22"/>
        <v>1268712</v>
      </c>
      <c r="P25" s="4">
        <f t="shared" ca="1" si="48"/>
        <v>5469712</v>
      </c>
      <c r="Q25" s="2"/>
      <c r="R25" s="2"/>
      <c r="S25" s="2"/>
      <c r="T25" s="2"/>
      <c r="U25" s="4">
        <f t="shared" ca="1" si="23"/>
        <v>3401412.200000003</v>
      </c>
      <c r="V25" s="4">
        <f t="shared" ca="1" si="24"/>
        <v>1027169.9199999999</v>
      </c>
      <c r="W25" s="4">
        <f t="shared" ca="1" si="25"/>
        <v>4428582.1200000029</v>
      </c>
      <c r="X25" s="4">
        <f ca="1">SUMIF(норм2016!$Q$11:$AR$76,$C25,норм2016!$AZ$11:$AZ$76)</f>
        <v>1955906</v>
      </c>
      <c r="Y25" s="4">
        <f t="shared" ca="1" si="49"/>
        <v>1502000</v>
      </c>
      <c r="Z25" s="4">
        <f t="shared" ca="1" si="50"/>
        <v>453906</v>
      </c>
      <c r="AA25" s="4">
        <f t="shared" ca="1" si="26"/>
        <v>1955906</v>
      </c>
      <c r="AB25" s="211">
        <f t="shared" ca="1" si="51"/>
        <v>1899412.2</v>
      </c>
      <c r="AC25" s="4">
        <f t="shared" ca="1" si="52"/>
        <v>573263.91999999993</v>
      </c>
      <c r="AD25" s="4">
        <f t="shared" ca="1" si="27"/>
        <v>2472676.12</v>
      </c>
      <c r="AE25" s="4">
        <f ca="1">SUMIF(норм2016!$Q$11:$AR$76,$C25,норм2016!$BC$11:$BC$76)</f>
        <v>2669844.02</v>
      </c>
      <c r="AF25" s="4">
        <f ca="1">SUMIF(норм2016!$Q$11:$AR$76,$C25,норм2016!$BM$11:$BM$76)</f>
        <v>1261516.99</v>
      </c>
      <c r="AG25" s="4">
        <v>566500</v>
      </c>
      <c r="AH25" s="211">
        <v>753478.1</v>
      </c>
      <c r="AI25" s="4">
        <f>SUMIF(газ!$G$71:$G$147,C25,газ!$J$71:$J$147)*1000</f>
        <v>144423.07999999999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f t="shared" si="53"/>
        <v>1464401.1800000002</v>
      </c>
      <c r="AR25" s="211">
        <f t="shared" ca="1" si="54"/>
        <v>-202884.19</v>
      </c>
      <c r="AS25" s="4"/>
      <c r="AT25" s="4">
        <f t="shared" ca="1" si="89"/>
        <v>202884.19</v>
      </c>
      <c r="AU25" s="4"/>
      <c r="AV25" s="4"/>
      <c r="AW25" s="4"/>
      <c r="AX25" s="4"/>
      <c r="AY25" s="4"/>
      <c r="AZ25" s="4"/>
      <c r="BA25" s="4"/>
      <c r="BB25" s="4"/>
      <c r="BC25" s="211">
        <f t="shared" ca="1" si="56"/>
        <v>202884.19</v>
      </c>
      <c r="BD25" s="4">
        <f t="shared" ca="1" si="57"/>
        <v>0</v>
      </c>
      <c r="BE25" s="4">
        <f t="shared" si="58"/>
        <v>566500</v>
      </c>
      <c r="BF25" s="4">
        <f t="shared" ca="1" si="59"/>
        <v>550593.90999999992</v>
      </c>
      <c r="BG25" s="4">
        <f t="shared" si="60"/>
        <v>144423.07999999999</v>
      </c>
      <c r="BH25" s="4">
        <f t="shared" si="61"/>
        <v>0</v>
      </c>
      <c r="BI25" s="4">
        <f t="shared" si="62"/>
        <v>0</v>
      </c>
      <c r="BJ25" s="4">
        <f t="shared" si="63"/>
        <v>0</v>
      </c>
      <c r="BK25" s="4">
        <f t="shared" si="64"/>
        <v>0</v>
      </c>
      <c r="BL25" s="4">
        <f t="shared" si="65"/>
        <v>0</v>
      </c>
      <c r="BM25" s="4">
        <f t="shared" si="66"/>
        <v>0</v>
      </c>
      <c r="BN25" s="4">
        <f t="shared" si="67"/>
        <v>0</v>
      </c>
      <c r="BO25" s="4">
        <f t="shared" ca="1" si="68"/>
        <v>1261516.99</v>
      </c>
      <c r="BP25" s="4">
        <v>0</v>
      </c>
      <c r="BQ25" s="211"/>
      <c r="BR25" s="4">
        <f t="shared" ca="1" si="29"/>
        <v>232500</v>
      </c>
      <c r="BS25" s="4">
        <f t="shared" ca="1" si="30"/>
        <v>70261.56</v>
      </c>
      <c r="BT25" s="4">
        <f ca="1">SUMIF(норм2016!$Q$11:$AR$76,$C25,норм2016!$BE$11:$BE$76)</f>
        <v>302761.56</v>
      </c>
      <c r="BU25" s="4">
        <f ca="1">SUMIF(норм2016!$Q$11:$AR$76,$C25,норм2016!$BF$11:$BF$76)</f>
        <v>0</v>
      </c>
      <c r="BV25" s="4">
        <f t="shared" ca="1" si="31"/>
        <v>302761.56</v>
      </c>
      <c r="BW25" s="4">
        <f t="shared" ca="1" si="69"/>
        <v>1105565.47</v>
      </c>
      <c r="BX25" s="211">
        <v>11644.64</v>
      </c>
      <c r="BY25" s="211"/>
      <c r="BZ25" s="211">
        <v>50814.6</v>
      </c>
      <c r="CA25" s="211">
        <v>5712</v>
      </c>
      <c r="CB25" s="211">
        <v>27680</v>
      </c>
      <c r="CC25" s="211"/>
      <c r="CD25" s="211"/>
      <c r="CE25" s="211">
        <v>13200</v>
      </c>
      <c r="CF25" s="4">
        <f t="shared" si="70"/>
        <v>109051.23999999999</v>
      </c>
      <c r="CG25" s="211">
        <v>59336.730000000214</v>
      </c>
      <c r="CH25" s="4">
        <f t="shared" ca="1" si="91"/>
        <v>996514.23</v>
      </c>
      <c r="CI25" s="211">
        <f t="shared" ca="1" si="71"/>
        <v>719800</v>
      </c>
      <c r="CJ25" s="4">
        <f t="shared" ca="1" si="72"/>
        <v>217377.5</v>
      </c>
      <c r="CK25" s="211">
        <f ca="1">ROUND(SUMIF(норм2016!$Q$11:$AR$76,$C25,норм2016!$BG$11:$BG$76),2)</f>
        <v>937177.5</v>
      </c>
      <c r="CL25" s="211">
        <f t="shared" ca="1" si="73"/>
        <v>-2.3283064365386963E-10</v>
      </c>
      <c r="CM25" s="4">
        <f t="shared" ca="1" si="35"/>
        <v>1179612.2</v>
      </c>
      <c r="CN25" s="4">
        <f t="shared" ca="1" si="36"/>
        <v>355886.41999999993</v>
      </c>
      <c r="CO25" s="4">
        <f t="shared" ca="1" si="37"/>
        <v>1535498.6199999999</v>
      </c>
      <c r="CP25" s="4">
        <f t="shared" ca="1" si="38"/>
        <v>7834912.2000000002</v>
      </c>
      <c r="CQ25" s="4">
        <f t="shared" ca="1" si="39"/>
        <v>2366143.48</v>
      </c>
      <c r="CR25" s="4">
        <f t="shared" ca="1" si="74"/>
        <v>10201055.68</v>
      </c>
      <c r="CS25" s="4">
        <f t="shared" ca="1" si="75"/>
        <v>5469712</v>
      </c>
      <c r="CT25" s="4">
        <f t="shared" ca="1" si="40"/>
        <v>1955906</v>
      </c>
      <c r="CU25" s="4">
        <f t="shared" si="41"/>
        <v>0</v>
      </c>
      <c r="CV25" s="4">
        <f t="shared" ca="1" si="76"/>
        <v>2669844.0200000005</v>
      </c>
      <c r="CW25" s="93">
        <f t="shared" ca="1" si="77"/>
        <v>10095462.02</v>
      </c>
      <c r="CX25" s="4">
        <f t="shared" ca="1" si="42"/>
        <v>0</v>
      </c>
      <c r="CY25" s="4">
        <f t="shared" ca="1" si="43"/>
        <v>0</v>
      </c>
      <c r="CZ25" s="4">
        <f t="shared" ca="1" si="78"/>
        <v>0</v>
      </c>
      <c r="DA25" s="216">
        <f t="shared" ca="1" si="44"/>
        <v>10095462.02</v>
      </c>
      <c r="DB25" s="4">
        <f t="shared" ca="1" si="45"/>
        <v>0</v>
      </c>
      <c r="DC25" s="211">
        <f t="shared" ca="1" si="46"/>
        <v>11630960.639999999</v>
      </c>
      <c r="DE25" s="4"/>
      <c r="DF25" s="4"/>
      <c r="DG25" s="4"/>
      <c r="DH25" s="4"/>
      <c r="DI25" s="4"/>
      <c r="DJ25" s="4"/>
      <c r="DK25" s="4">
        <f t="shared" ca="1" si="79"/>
        <v>202884.19</v>
      </c>
      <c r="DL25" s="4">
        <v>0</v>
      </c>
      <c r="DM25" s="4">
        <f t="shared" si="80"/>
        <v>0</v>
      </c>
      <c r="DN25" s="211">
        <f t="shared" si="81"/>
        <v>0</v>
      </c>
      <c r="DO25" s="218">
        <f t="shared" ca="1" si="82"/>
        <v>202884.19</v>
      </c>
      <c r="DP25" s="219">
        <f t="shared" ca="1" si="83"/>
        <v>11833844.829999998</v>
      </c>
      <c r="DQ25" s="8" t="s">
        <v>111</v>
      </c>
      <c r="EA25" s="1" t="s">
        <v>363</v>
      </c>
      <c r="EB25" s="10">
        <v>753478.1</v>
      </c>
      <c r="EC25" s="223">
        <v>0</v>
      </c>
    </row>
    <row r="26" spans="1:133">
      <c r="A26" s="12">
        <v>17</v>
      </c>
      <c r="B26" s="3" t="s">
        <v>61</v>
      </c>
      <c r="C26" s="12" t="s">
        <v>217</v>
      </c>
      <c r="D26" s="102"/>
      <c r="E26" s="102"/>
      <c r="F26" s="102"/>
      <c r="G26" s="4">
        <v>603606.95999999985</v>
      </c>
      <c r="H26" s="211">
        <v>608290.07000000007</v>
      </c>
      <c r="I26" s="4">
        <f t="shared" si="47"/>
        <v>7299480.8400000008</v>
      </c>
      <c r="J26" s="4">
        <f t="shared" si="19"/>
        <v>2204443.21</v>
      </c>
      <c r="K26" s="4">
        <f t="shared" si="20"/>
        <v>9503924.0500000007</v>
      </c>
      <c r="L26" s="4">
        <f ca="1">SUMIF(норм2016!$Q$11:$AR$76,C26,норм2016!$AX$11:$AX$76)</f>
        <v>5788076.5</v>
      </c>
      <c r="M26" s="4">
        <f ca="1">SUMIF(норм2016!$Q$11:$AR$76,$C26,норм2016!$AY$11:$AY$76)</f>
        <v>4141647</v>
      </c>
      <c r="N26" s="4">
        <f t="shared" ca="1" si="21"/>
        <v>3181000</v>
      </c>
      <c r="O26" s="4">
        <f t="shared" ca="1" si="22"/>
        <v>960647</v>
      </c>
      <c r="P26" s="4">
        <f t="shared" ca="1" si="48"/>
        <v>4141647</v>
      </c>
      <c r="Q26" s="2"/>
      <c r="R26" s="2"/>
      <c r="S26" s="2"/>
      <c r="T26" s="2"/>
      <c r="U26" s="4">
        <f t="shared" ca="1" si="23"/>
        <v>3978480.8400000008</v>
      </c>
      <c r="V26" s="4">
        <f t="shared" ca="1" si="24"/>
        <v>1201535.06</v>
      </c>
      <c r="W26" s="4">
        <f t="shared" ca="1" si="25"/>
        <v>5180015.9000000004</v>
      </c>
      <c r="X26" s="4">
        <f ca="1">SUMIF(норм2016!$Q$11:$AR$76,$C26,норм2016!$AZ$11:$AZ$76)</f>
        <v>1646429.5</v>
      </c>
      <c r="Y26" s="4">
        <f t="shared" ca="1" si="49"/>
        <v>1265000</v>
      </c>
      <c r="Z26" s="4">
        <f t="shared" ca="1" si="50"/>
        <v>381429.5</v>
      </c>
      <c r="AA26" s="4">
        <f t="shared" ca="1" si="26"/>
        <v>1646429.5</v>
      </c>
      <c r="AB26" s="211">
        <f t="shared" ca="1" si="51"/>
        <v>2713480.84</v>
      </c>
      <c r="AC26" s="4">
        <f t="shared" ca="1" si="52"/>
        <v>820105.56</v>
      </c>
      <c r="AD26" s="4">
        <f t="shared" ca="1" si="27"/>
        <v>3533586.4</v>
      </c>
      <c r="AE26" s="4">
        <f ca="1">SUMIF(норм2016!$Q$11:$AR$76,$C26,норм2016!$BC$11:$BC$76)</f>
        <v>2208664</v>
      </c>
      <c r="AF26" s="4">
        <f ca="1">SUMIF(норм2016!$Q$11:$AR$76,$C26,норм2016!$BM$11:$BM$76)</f>
        <v>1294289.71</v>
      </c>
      <c r="AG26" s="4">
        <v>137500</v>
      </c>
      <c r="AH26" s="211">
        <v>1078684.93</v>
      </c>
      <c r="AI26" s="4">
        <f>SUMIF(газ!$G$71:$G$147,C26,газ!$J$71:$J$147)*1000</f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f t="shared" si="53"/>
        <v>1216184.93</v>
      </c>
      <c r="AR26" s="211">
        <f t="shared" ca="1" si="54"/>
        <v>78104.78</v>
      </c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211">
        <f t="shared" si="56"/>
        <v>0</v>
      </c>
      <c r="BD26" s="4">
        <f t="shared" ca="1" si="57"/>
        <v>78104.78</v>
      </c>
      <c r="BE26" s="4">
        <f t="shared" si="58"/>
        <v>137500</v>
      </c>
      <c r="BF26" s="4">
        <f t="shared" si="59"/>
        <v>1078684.93</v>
      </c>
      <c r="BG26" s="4">
        <f t="shared" si="60"/>
        <v>0</v>
      </c>
      <c r="BH26" s="4">
        <f t="shared" si="61"/>
        <v>0</v>
      </c>
      <c r="BI26" s="4">
        <f t="shared" si="62"/>
        <v>0</v>
      </c>
      <c r="BJ26" s="4">
        <f t="shared" si="63"/>
        <v>0</v>
      </c>
      <c r="BK26" s="4">
        <f t="shared" si="64"/>
        <v>0</v>
      </c>
      <c r="BL26" s="4">
        <f t="shared" si="65"/>
        <v>0</v>
      </c>
      <c r="BM26" s="4">
        <f t="shared" si="66"/>
        <v>0</v>
      </c>
      <c r="BN26" s="4">
        <f t="shared" si="67"/>
        <v>0</v>
      </c>
      <c r="BO26" s="4">
        <f t="shared" si="68"/>
        <v>1216184.93</v>
      </c>
      <c r="BP26" s="4">
        <v>0</v>
      </c>
      <c r="BQ26" s="211"/>
      <c r="BR26" s="4">
        <f t="shared" ca="1" si="29"/>
        <v>140000</v>
      </c>
      <c r="BS26" s="4">
        <f t="shared" ca="1" si="30"/>
        <v>42261.149999999994</v>
      </c>
      <c r="BT26" s="4">
        <f ca="1">SUMIF(норм2016!$Q$11:$AR$76,$C26,норм2016!$BE$11:$BE$76)</f>
        <v>182261.15</v>
      </c>
      <c r="BU26" s="4">
        <f ca="1">SUMIF(норм2016!$Q$11:$AR$76,$C26,норм2016!$BF$11:$BF$76)</f>
        <v>0</v>
      </c>
      <c r="BV26" s="4">
        <f t="shared" ca="1" si="31"/>
        <v>182261.15</v>
      </c>
      <c r="BW26" s="4">
        <f t="shared" ca="1" si="69"/>
        <v>810217.92</v>
      </c>
      <c r="BX26" s="211">
        <v>9981.1200000000008</v>
      </c>
      <c r="BY26" s="211"/>
      <c r="BZ26" s="211">
        <v>19116</v>
      </c>
      <c r="CA26" s="211">
        <v>26397.84</v>
      </c>
      <c r="CB26" s="211">
        <v>13142</v>
      </c>
      <c r="CC26" s="211"/>
      <c r="CD26" s="211">
        <v>7717.5</v>
      </c>
      <c r="CE26" s="211">
        <v>9300</v>
      </c>
      <c r="CF26" s="4">
        <f t="shared" si="70"/>
        <v>85654.46</v>
      </c>
      <c r="CG26" s="211">
        <v>177876.58000000007</v>
      </c>
      <c r="CH26" s="4">
        <f t="shared" ca="1" si="91"/>
        <v>724563.46000000008</v>
      </c>
      <c r="CI26" s="211">
        <f t="shared" ca="1" si="71"/>
        <v>419900</v>
      </c>
      <c r="CJ26" s="4">
        <f t="shared" ca="1" si="72"/>
        <v>126786.88</v>
      </c>
      <c r="CK26" s="211">
        <f ca="1">ROUND(SUMIF(норм2016!$Q$11:$AR$76,$C26,норм2016!$BG$11:$BG$76),2)</f>
        <v>546686.88</v>
      </c>
      <c r="CL26" s="211">
        <f t="shared" ca="1" si="73"/>
        <v>0</v>
      </c>
      <c r="CM26" s="4">
        <f t="shared" ca="1" si="35"/>
        <v>2293580.84</v>
      </c>
      <c r="CN26" s="4">
        <f t="shared" ca="1" si="36"/>
        <v>693318.68</v>
      </c>
      <c r="CO26" s="4">
        <f t="shared" ca="1" si="37"/>
        <v>2986899.52</v>
      </c>
      <c r="CP26" s="4">
        <f t="shared" ca="1" si="38"/>
        <v>7299480.8399999999</v>
      </c>
      <c r="CQ26" s="4">
        <f t="shared" ca="1" si="39"/>
        <v>2204443.21</v>
      </c>
      <c r="CR26" s="4">
        <f t="shared" ca="1" si="74"/>
        <v>9503924.0500000007</v>
      </c>
      <c r="CS26" s="4">
        <f t="shared" ca="1" si="75"/>
        <v>4141647</v>
      </c>
      <c r="CT26" s="4">
        <f t="shared" ca="1" si="40"/>
        <v>1646429.5</v>
      </c>
      <c r="CU26" s="4">
        <f t="shared" si="41"/>
        <v>0</v>
      </c>
      <c r="CV26" s="4">
        <f t="shared" ca="1" si="76"/>
        <v>2208664</v>
      </c>
      <c r="CW26" s="93">
        <f t="shared" ca="1" si="77"/>
        <v>7996740.5</v>
      </c>
      <c r="CX26" s="4">
        <f t="shared" ca="1" si="42"/>
        <v>0</v>
      </c>
      <c r="CY26" s="4">
        <f t="shared" ca="1" si="43"/>
        <v>0</v>
      </c>
      <c r="CZ26" s="4">
        <f t="shared" ca="1" si="78"/>
        <v>0</v>
      </c>
      <c r="DA26" s="216">
        <f t="shared" ca="1" si="44"/>
        <v>7996740.5</v>
      </c>
      <c r="DB26" s="4">
        <f t="shared" ca="1" si="45"/>
        <v>0</v>
      </c>
      <c r="DC26" s="211">
        <f t="shared" ca="1" si="46"/>
        <v>10983640.02</v>
      </c>
      <c r="DE26" s="4"/>
      <c r="DF26" s="4"/>
      <c r="DG26" s="4"/>
      <c r="DH26" s="4"/>
      <c r="DI26" s="4"/>
      <c r="DJ26" s="4"/>
      <c r="DK26" s="4">
        <f t="shared" si="79"/>
        <v>0</v>
      </c>
      <c r="DL26" s="4">
        <v>0</v>
      </c>
      <c r="DM26" s="4">
        <f t="shared" si="80"/>
        <v>0</v>
      </c>
      <c r="DN26" s="211">
        <f t="shared" si="81"/>
        <v>0</v>
      </c>
      <c r="DO26" s="218">
        <f t="shared" si="82"/>
        <v>0</v>
      </c>
      <c r="DP26" s="219">
        <f t="shared" ca="1" si="83"/>
        <v>10983640.02</v>
      </c>
      <c r="DQ26" s="8" t="s">
        <v>112</v>
      </c>
      <c r="EA26" s="1" t="s">
        <v>363</v>
      </c>
      <c r="EB26" s="10">
        <v>1078684.93</v>
      </c>
      <c r="EC26" s="223">
        <v>0</v>
      </c>
    </row>
    <row r="27" spans="1:133">
      <c r="A27" s="12">
        <v>18</v>
      </c>
      <c r="B27" s="3" t="s">
        <v>62</v>
      </c>
      <c r="C27" s="12">
        <v>1623006034</v>
      </c>
      <c r="D27" s="102"/>
      <c r="E27" s="102"/>
      <c r="F27" s="102"/>
      <c r="G27" s="4">
        <v>714249.67</v>
      </c>
      <c r="H27" s="211">
        <v>660338.9</v>
      </c>
      <c r="I27" s="4">
        <f t="shared" si="47"/>
        <v>7924066.8000000007</v>
      </c>
      <c r="J27" s="4">
        <f t="shared" si="19"/>
        <v>2393068.17</v>
      </c>
      <c r="K27" s="4">
        <f t="shared" si="20"/>
        <v>10317134.970000001</v>
      </c>
      <c r="L27" s="4">
        <f ca="1">SUMIF(норм2016!$Q$11:$AR$76,C27,норм2016!$AX$11:$AX$76)</f>
        <v>8321294.5</v>
      </c>
      <c r="M27" s="4">
        <f ca="1">SUMIF(норм2016!$Q$11:$AR$76,$C27,норм2016!$AY$11:$AY$76)</f>
        <v>6478144</v>
      </c>
      <c r="N27" s="4">
        <f t="shared" ca="1" si="21"/>
        <v>4976000</v>
      </c>
      <c r="O27" s="4">
        <f t="shared" ca="1" si="22"/>
        <v>1502144</v>
      </c>
      <c r="P27" s="4">
        <f t="shared" ca="1" si="48"/>
        <v>6478144</v>
      </c>
      <c r="Q27" s="2"/>
      <c r="R27" s="2"/>
      <c r="S27" s="2"/>
      <c r="T27" s="2"/>
      <c r="U27" s="4">
        <f t="shared" ca="1" si="23"/>
        <v>2740766.8000000007</v>
      </c>
      <c r="V27" s="4">
        <f t="shared" ca="1" si="24"/>
        <v>828366.59999999986</v>
      </c>
      <c r="W27" s="4">
        <f t="shared" ca="1" si="25"/>
        <v>3569133.4000000004</v>
      </c>
      <c r="X27" s="4">
        <f ca="1">SUMIF(норм2016!$Q$11:$AR$76,$C27,норм2016!$AZ$11:$AZ$76)</f>
        <v>1843150.5</v>
      </c>
      <c r="Y27" s="4">
        <f t="shared" ca="1" si="49"/>
        <v>1416000</v>
      </c>
      <c r="Z27" s="4">
        <f t="shared" ca="1" si="50"/>
        <v>427150.5</v>
      </c>
      <c r="AA27" s="4">
        <f t="shared" ca="1" si="26"/>
        <v>1843150.5</v>
      </c>
      <c r="AB27" s="211">
        <f t="shared" ca="1" si="51"/>
        <v>1324766.8</v>
      </c>
      <c r="AC27" s="4">
        <f t="shared" ca="1" si="52"/>
        <v>401216.09999999986</v>
      </c>
      <c r="AD27" s="4">
        <f t="shared" ca="1" si="27"/>
        <v>1725982.9</v>
      </c>
      <c r="AE27" s="4">
        <f ca="1">SUMIF(норм2016!$Q$11:$AR$76,$C27,норм2016!$BC$11:$BC$76)</f>
        <v>3342492.21</v>
      </c>
      <c r="AF27" s="4">
        <f ca="1">SUMIF(норм2016!$Q$11:$AR$76,$C27,норм2016!$BM$11:$BM$76)</f>
        <v>1889474.77</v>
      </c>
      <c r="AG27" s="4">
        <v>748000</v>
      </c>
      <c r="AH27" s="211">
        <v>1270084.24</v>
      </c>
      <c r="AI27" s="4">
        <f>SUMIF(газ!$G$71:$G$147,C27,газ!$J$71:$J$147)*1000</f>
        <v>0</v>
      </c>
      <c r="AJ27" s="4">
        <v>3039.6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f t="shared" si="53"/>
        <v>2021123.84</v>
      </c>
      <c r="AR27" s="211">
        <f t="shared" ca="1" si="54"/>
        <v>-131649.07</v>
      </c>
      <c r="AS27" s="4"/>
      <c r="AT27" s="4">
        <f t="shared" ca="1" si="89"/>
        <v>131649.07</v>
      </c>
      <c r="AU27" s="4"/>
      <c r="AV27" s="4"/>
      <c r="AW27" s="4"/>
      <c r="AX27" s="4"/>
      <c r="AY27" s="4"/>
      <c r="AZ27" s="4"/>
      <c r="BA27" s="4"/>
      <c r="BB27" s="4"/>
      <c r="BC27" s="211">
        <f t="shared" ca="1" si="56"/>
        <v>131649.07</v>
      </c>
      <c r="BD27" s="4">
        <f t="shared" ca="1" si="57"/>
        <v>0</v>
      </c>
      <c r="BE27" s="4">
        <f t="shared" si="58"/>
        <v>748000</v>
      </c>
      <c r="BF27" s="4">
        <f t="shared" ca="1" si="59"/>
        <v>1138435.17</v>
      </c>
      <c r="BG27" s="4">
        <f t="shared" si="60"/>
        <v>0</v>
      </c>
      <c r="BH27" s="4">
        <f t="shared" si="61"/>
        <v>3039.6</v>
      </c>
      <c r="BI27" s="4">
        <f t="shared" si="62"/>
        <v>0</v>
      </c>
      <c r="BJ27" s="4">
        <f t="shared" si="63"/>
        <v>0</v>
      </c>
      <c r="BK27" s="4">
        <f t="shared" si="64"/>
        <v>0</v>
      </c>
      <c r="BL27" s="4">
        <f t="shared" si="65"/>
        <v>0</v>
      </c>
      <c r="BM27" s="4">
        <f t="shared" si="66"/>
        <v>0</v>
      </c>
      <c r="BN27" s="4">
        <f t="shared" si="67"/>
        <v>0</v>
      </c>
      <c r="BO27" s="4">
        <f t="shared" ca="1" si="68"/>
        <v>1889474.77</v>
      </c>
      <c r="BP27" s="4">
        <v>0</v>
      </c>
      <c r="BQ27" s="211"/>
      <c r="BR27" s="4">
        <f t="shared" ca="1" si="29"/>
        <v>207300</v>
      </c>
      <c r="BS27" s="4">
        <f t="shared" ca="1" si="30"/>
        <v>62557.570000000007</v>
      </c>
      <c r="BT27" s="4">
        <f ca="1">SUMIF(норм2016!$Q$11:$AR$76,$C27,норм2016!$BE$11:$BE$76)</f>
        <v>269857.57</v>
      </c>
      <c r="BU27" s="4">
        <f ca="1">SUMIF(норм2016!$Q$11:$AR$76,$C27,норм2016!$BF$11:$BF$76)</f>
        <v>29428.880000000001</v>
      </c>
      <c r="BV27" s="4">
        <f t="shared" ca="1" si="31"/>
        <v>299286.45</v>
      </c>
      <c r="BW27" s="4">
        <f t="shared" ca="1" si="69"/>
        <v>1153730.99</v>
      </c>
      <c r="BX27" s="211"/>
      <c r="BY27" s="211"/>
      <c r="BZ27" s="211">
        <v>48639.6</v>
      </c>
      <c r="CA27" s="211">
        <v>5166</v>
      </c>
      <c r="CB27" s="211">
        <v>27680</v>
      </c>
      <c r="CC27" s="211"/>
      <c r="CD27" s="211">
        <v>1890</v>
      </c>
      <c r="CE27" s="211">
        <v>12600</v>
      </c>
      <c r="CF27" s="4">
        <f t="shared" si="70"/>
        <v>95975.6</v>
      </c>
      <c r="CG27" s="211">
        <v>120577.8899999999</v>
      </c>
      <c r="CH27" s="4">
        <f t="shared" ca="1" si="91"/>
        <v>1057755.3899999999</v>
      </c>
      <c r="CI27" s="211">
        <f t="shared" ca="1" si="71"/>
        <v>719800</v>
      </c>
      <c r="CJ27" s="4">
        <f t="shared" ca="1" si="72"/>
        <v>217377.5</v>
      </c>
      <c r="CK27" s="211">
        <f ca="1">ROUND(SUMIF(норм2016!$Q$11:$AR$76,$C27,норм2016!$BG$11:$BG$76),2)</f>
        <v>937177.5</v>
      </c>
      <c r="CL27" s="211">
        <f t="shared" ca="1" si="73"/>
        <v>0</v>
      </c>
      <c r="CM27" s="4">
        <f t="shared" ca="1" si="35"/>
        <v>604966.80000000005</v>
      </c>
      <c r="CN27" s="4">
        <f t="shared" ca="1" si="36"/>
        <v>183838.59999999986</v>
      </c>
      <c r="CO27" s="4">
        <f t="shared" ca="1" si="37"/>
        <v>788805.39999999991</v>
      </c>
      <c r="CP27" s="4">
        <f t="shared" ca="1" si="38"/>
        <v>7924066.7999999998</v>
      </c>
      <c r="CQ27" s="4">
        <f t="shared" ca="1" si="39"/>
        <v>2393068.1699999995</v>
      </c>
      <c r="CR27" s="4">
        <f t="shared" ca="1" si="74"/>
        <v>10317134.969999999</v>
      </c>
      <c r="CS27" s="4">
        <f t="shared" ca="1" si="75"/>
        <v>6478144</v>
      </c>
      <c r="CT27" s="4">
        <f t="shared" ca="1" si="40"/>
        <v>1843150.5</v>
      </c>
      <c r="CU27" s="4">
        <f t="shared" si="41"/>
        <v>0</v>
      </c>
      <c r="CV27" s="4">
        <f t="shared" ca="1" si="76"/>
        <v>3342492.2100000004</v>
      </c>
      <c r="CW27" s="93">
        <f t="shared" ca="1" si="77"/>
        <v>11663786.710000001</v>
      </c>
      <c r="CX27" s="4">
        <f t="shared" ca="1" si="42"/>
        <v>0</v>
      </c>
      <c r="CY27" s="4">
        <f t="shared" ca="1" si="43"/>
        <v>0</v>
      </c>
      <c r="CZ27" s="4">
        <f t="shared" ca="1" si="78"/>
        <v>0</v>
      </c>
      <c r="DA27" s="216">
        <f t="shared" ca="1" si="44"/>
        <v>11663786.710000001</v>
      </c>
      <c r="DB27" s="4">
        <f t="shared" ca="1" si="45"/>
        <v>0</v>
      </c>
      <c r="DC27" s="211">
        <f t="shared" ca="1" si="46"/>
        <v>12452592.110000001</v>
      </c>
      <c r="DE27" s="4"/>
      <c r="DF27" s="4"/>
      <c r="DG27" s="4"/>
      <c r="DH27" s="4"/>
      <c r="DI27" s="4"/>
      <c r="DJ27" s="4"/>
      <c r="DK27" s="4">
        <f t="shared" ca="1" si="79"/>
        <v>131649.07</v>
      </c>
      <c r="DL27" s="4">
        <v>0</v>
      </c>
      <c r="DM27" s="4">
        <f t="shared" si="80"/>
        <v>0</v>
      </c>
      <c r="DN27" s="211">
        <f t="shared" si="81"/>
        <v>0</v>
      </c>
      <c r="DO27" s="218">
        <f t="shared" ca="1" si="82"/>
        <v>131649.07</v>
      </c>
      <c r="DP27" s="219">
        <f t="shared" ca="1" si="83"/>
        <v>12584241.180000002</v>
      </c>
      <c r="DQ27" s="8" t="s">
        <v>100</v>
      </c>
      <c r="EA27" s="1" t="s">
        <v>363</v>
      </c>
      <c r="EB27" s="10">
        <v>1270084.24</v>
      </c>
      <c r="EC27" s="223">
        <v>0</v>
      </c>
    </row>
    <row r="28" spans="1:133">
      <c r="A28" s="12">
        <v>19</v>
      </c>
      <c r="B28" s="3" t="s">
        <v>63</v>
      </c>
      <c r="C28" s="12" t="s">
        <v>223</v>
      </c>
      <c r="D28" s="102"/>
      <c r="E28" s="102"/>
      <c r="F28" s="102"/>
      <c r="G28" s="4">
        <v>1127680.2699999998</v>
      </c>
      <c r="H28" s="211">
        <v>1112340.6100000001</v>
      </c>
      <c r="I28" s="4">
        <f t="shared" si="47"/>
        <v>13348087.32</v>
      </c>
      <c r="J28" s="4">
        <f t="shared" si="19"/>
        <v>4031122.37</v>
      </c>
      <c r="K28" s="4">
        <f t="shared" si="20"/>
        <v>17379209.690000001</v>
      </c>
      <c r="L28" s="4">
        <f ca="1">SUMIF(норм2016!$Q$11:$AR$76,C28,норм2016!$AX$11:$AX$76)</f>
        <v>11228937</v>
      </c>
      <c r="M28" s="4">
        <f ca="1">SUMIF(норм2016!$Q$11:$AR$76,$C28,норм2016!$AY$11:$AY$76)</f>
        <v>10616472</v>
      </c>
      <c r="N28" s="4">
        <f t="shared" ca="1" si="21"/>
        <v>8154000</v>
      </c>
      <c r="O28" s="4">
        <f t="shared" ca="1" si="22"/>
        <v>2462472</v>
      </c>
      <c r="P28" s="4">
        <f t="shared" ca="1" si="48"/>
        <v>10616472</v>
      </c>
      <c r="Q28" s="4">
        <f>норм2016!BB34</f>
        <v>920580</v>
      </c>
      <c r="R28" s="2">
        <f>ROUND(Q28/1.302,-3)</f>
        <v>707000</v>
      </c>
      <c r="S28" s="2">
        <f>Q28-R28</f>
        <v>213580</v>
      </c>
      <c r="T28" s="2">
        <f>SUM(R28:S28)</f>
        <v>920580</v>
      </c>
      <c r="U28" s="4">
        <f t="shared" ca="1" si="23"/>
        <v>4061787.3200000003</v>
      </c>
      <c r="V28" s="4">
        <f t="shared" ca="1" si="24"/>
        <v>1226668.4700000002</v>
      </c>
      <c r="W28" s="4">
        <f t="shared" ca="1" si="25"/>
        <v>5288455.790000001</v>
      </c>
      <c r="X28" s="4">
        <f ca="1">SUMIF(норм2016!$Q$11:$AR$76,$C28,норм2016!$AZ$11:$AZ$76)</f>
        <v>612465</v>
      </c>
      <c r="Y28" s="4">
        <f t="shared" ca="1" si="49"/>
        <v>470000</v>
      </c>
      <c r="Z28" s="4">
        <f t="shared" ca="1" si="50"/>
        <v>142465</v>
      </c>
      <c r="AA28" s="4">
        <f t="shared" ca="1" si="26"/>
        <v>612465</v>
      </c>
      <c r="AB28" s="211">
        <f t="shared" ca="1" si="51"/>
        <v>3591787.32</v>
      </c>
      <c r="AC28" s="4">
        <f t="shared" ca="1" si="52"/>
        <v>1084203.4700000002</v>
      </c>
      <c r="AD28" s="4">
        <f t="shared" ca="1" si="27"/>
        <v>4675990.79</v>
      </c>
      <c r="AE28" s="4">
        <f ca="1">SUMIF(норм2016!$Q$11:$AR$76,$C28,норм2016!$BC$11:$BC$76)</f>
        <v>3660788.39</v>
      </c>
      <c r="AF28" s="4">
        <f ca="1">SUMIF(норм2016!$Q$11:$AR$76,$C28,норм2016!$BM$11:$BM$76)</f>
        <v>1642686.36</v>
      </c>
      <c r="AG28" s="4">
        <v>759000</v>
      </c>
      <c r="AH28" s="211">
        <v>971161.36</v>
      </c>
      <c r="AI28" s="4">
        <f>SUMIF(газ!$G$71:$G$147,C28,газ!$J$71:$J$147)*1000</f>
        <v>67969.3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f t="shared" si="53"/>
        <v>1798130.66</v>
      </c>
      <c r="AR28" s="211">
        <f t="shared" ca="1" si="54"/>
        <v>-155444.29999999999</v>
      </c>
      <c r="AS28" s="4"/>
      <c r="AT28" s="4">
        <f t="shared" ca="1" si="89"/>
        <v>155444.29999999999</v>
      </c>
      <c r="AU28" s="4"/>
      <c r="AV28" s="4"/>
      <c r="AW28" s="4"/>
      <c r="AX28" s="4"/>
      <c r="AY28" s="4"/>
      <c r="AZ28" s="4"/>
      <c r="BA28" s="4"/>
      <c r="BB28" s="4"/>
      <c r="BC28" s="211">
        <f t="shared" ca="1" si="56"/>
        <v>155444.29999999999</v>
      </c>
      <c r="BD28" s="4">
        <f t="shared" ca="1" si="57"/>
        <v>0</v>
      </c>
      <c r="BE28" s="4">
        <f t="shared" si="58"/>
        <v>759000</v>
      </c>
      <c r="BF28" s="4">
        <f t="shared" ca="1" si="59"/>
        <v>815717.06</v>
      </c>
      <c r="BG28" s="4">
        <f t="shared" si="60"/>
        <v>67969.3</v>
      </c>
      <c r="BH28" s="4">
        <f t="shared" si="61"/>
        <v>0</v>
      </c>
      <c r="BI28" s="4">
        <f t="shared" si="62"/>
        <v>0</v>
      </c>
      <c r="BJ28" s="4">
        <f t="shared" si="63"/>
        <v>0</v>
      </c>
      <c r="BK28" s="4">
        <f t="shared" si="64"/>
        <v>0</v>
      </c>
      <c r="BL28" s="4">
        <f t="shared" si="65"/>
        <v>0</v>
      </c>
      <c r="BM28" s="4">
        <f t="shared" si="66"/>
        <v>0</v>
      </c>
      <c r="BN28" s="4">
        <f t="shared" si="67"/>
        <v>0</v>
      </c>
      <c r="BO28" s="4">
        <f t="shared" ca="1" si="68"/>
        <v>1642686.36</v>
      </c>
      <c r="BP28" s="115">
        <v>20500</v>
      </c>
      <c r="BQ28" s="211">
        <v>161253</v>
      </c>
      <c r="BR28" s="4">
        <f t="shared" ca="1" si="29"/>
        <v>425300</v>
      </c>
      <c r="BS28" s="4">
        <f t="shared" ca="1" si="30"/>
        <v>128401.90000000002</v>
      </c>
      <c r="BT28" s="4">
        <f ca="1">SUMIF(норм2016!$Q$11:$AR$76,$C28,норм2016!$BE$11:$BE$76)</f>
        <v>553701.9</v>
      </c>
      <c r="BU28" s="4">
        <f ca="1">SUMIF(норм2016!$Q$11:$AR$76,$C28,норм2016!$BF$11:$BF$76)</f>
        <v>182331.77</v>
      </c>
      <c r="BV28" s="4">
        <f t="shared" ca="1" si="31"/>
        <v>736033.67</v>
      </c>
      <c r="BW28" s="4">
        <f t="shared" ca="1" si="69"/>
        <v>1282068.3599999999</v>
      </c>
      <c r="BX28" s="211"/>
      <c r="BY28" s="211"/>
      <c r="BZ28" s="211">
        <v>61414.11</v>
      </c>
      <c r="CA28" s="211">
        <v>25758.6</v>
      </c>
      <c r="CB28" s="211">
        <v>27680</v>
      </c>
      <c r="CC28" s="211">
        <v>29206.799999999999</v>
      </c>
      <c r="CD28" s="115">
        <f>161253-161253</f>
        <v>0</v>
      </c>
      <c r="CE28" s="211"/>
      <c r="CF28" s="4">
        <f t="shared" si="70"/>
        <v>144059.50999999998</v>
      </c>
      <c r="CG28" s="211">
        <v>44635.089999999851</v>
      </c>
      <c r="CH28" s="4">
        <f t="shared" ca="1" si="91"/>
        <v>1138008.8499999999</v>
      </c>
      <c r="CI28" s="211">
        <f t="shared" ca="1" si="71"/>
        <v>839800</v>
      </c>
      <c r="CJ28" s="4">
        <f t="shared" ca="1" si="72"/>
        <v>253573.76000000001</v>
      </c>
      <c r="CK28" s="211">
        <f ca="1">ROUND(SUMIF(норм2016!$Q$11:$AR$76,$C28,норм2016!$BG$11:$BG$76),2)</f>
        <v>1093373.76</v>
      </c>
      <c r="CL28" s="211">
        <f t="shared" ca="1" si="73"/>
        <v>0</v>
      </c>
      <c r="CM28" s="4">
        <f t="shared" ca="1" si="35"/>
        <v>2751987.32</v>
      </c>
      <c r="CN28" s="4">
        <f t="shared" ca="1" si="36"/>
        <v>830629.7100000002</v>
      </c>
      <c r="CO28" s="4">
        <f t="shared" ca="1" si="37"/>
        <v>3582617.0300000003</v>
      </c>
      <c r="CP28" s="4">
        <f t="shared" ca="1" si="38"/>
        <v>13348087.32</v>
      </c>
      <c r="CQ28" s="4">
        <f t="shared" ca="1" si="39"/>
        <v>4031122.3699999996</v>
      </c>
      <c r="CR28" s="4">
        <f t="shared" ca="1" si="74"/>
        <v>17379209.690000001</v>
      </c>
      <c r="CS28" s="4">
        <f t="shared" ca="1" si="75"/>
        <v>10616472</v>
      </c>
      <c r="CT28" s="4">
        <f t="shared" ca="1" si="40"/>
        <v>612465</v>
      </c>
      <c r="CU28" s="4">
        <f t="shared" si="41"/>
        <v>920580</v>
      </c>
      <c r="CV28" s="4">
        <f t="shared" ca="1" si="76"/>
        <v>3660788.3899999997</v>
      </c>
      <c r="CW28" s="93">
        <f t="shared" ca="1" si="77"/>
        <v>15810305.390000001</v>
      </c>
      <c r="CX28" s="4">
        <f t="shared" ca="1" si="42"/>
        <v>0</v>
      </c>
      <c r="CY28" s="4">
        <f t="shared" ca="1" si="43"/>
        <v>0</v>
      </c>
      <c r="CZ28" s="4">
        <f t="shared" ca="1" si="78"/>
        <v>0</v>
      </c>
      <c r="DA28" s="216">
        <f t="shared" ca="1" si="44"/>
        <v>15810305.390000001</v>
      </c>
      <c r="DB28" s="4">
        <f t="shared" ca="1" si="45"/>
        <v>0</v>
      </c>
      <c r="DC28" s="211">
        <f t="shared" ca="1" si="46"/>
        <v>19392922.420000002</v>
      </c>
      <c r="DE28" s="4"/>
      <c r="DF28" s="4"/>
      <c r="DG28" s="4"/>
      <c r="DH28" s="4"/>
      <c r="DI28" s="4"/>
      <c r="DJ28" s="4"/>
      <c r="DK28" s="4">
        <f t="shared" ca="1" si="79"/>
        <v>155444.29999999999</v>
      </c>
      <c r="DL28" s="4">
        <v>0</v>
      </c>
      <c r="DM28" s="4">
        <f t="shared" si="80"/>
        <v>20500</v>
      </c>
      <c r="DN28" s="211">
        <f t="shared" si="81"/>
        <v>161253</v>
      </c>
      <c r="DO28" s="218">
        <f t="shared" ca="1" si="82"/>
        <v>337197.3</v>
      </c>
      <c r="DP28" s="219">
        <f t="shared" ca="1" si="83"/>
        <v>19730119.720000003</v>
      </c>
      <c r="DQ28" s="8" t="s">
        <v>113</v>
      </c>
      <c r="EA28" s="1" t="s">
        <v>363</v>
      </c>
      <c r="EB28" s="10">
        <v>971161.36</v>
      </c>
      <c r="EC28" s="223">
        <v>0</v>
      </c>
    </row>
    <row r="29" spans="1:133">
      <c r="A29" s="12">
        <v>20</v>
      </c>
      <c r="B29" s="3" t="s">
        <v>64</v>
      </c>
      <c r="C29" s="12" t="s">
        <v>224</v>
      </c>
      <c r="D29" s="102"/>
      <c r="E29" s="102"/>
      <c r="F29" s="102"/>
      <c r="G29" s="4">
        <v>847286.12</v>
      </c>
      <c r="H29" s="211">
        <v>855531.32</v>
      </c>
      <c r="I29" s="4">
        <f t="shared" si="47"/>
        <v>10266375.84</v>
      </c>
      <c r="J29" s="4">
        <f t="shared" si="19"/>
        <v>3100445.5</v>
      </c>
      <c r="K29" s="4">
        <f t="shared" si="20"/>
        <v>13366821.34</v>
      </c>
      <c r="L29" s="4">
        <f ca="1">SUMIF(норм2016!$Q$11:$AR$76,C29,норм2016!$AX$11:$AX$76)</f>
        <v>9913730</v>
      </c>
      <c r="M29" s="4">
        <f ca="1">SUMIF(норм2016!$Q$11:$AR$76,$C29,норм2016!$AY$11:$AY$76)</f>
        <v>9559145</v>
      </c>
      <c r="N29" s="4">
        <f t="shared" ca="1" si="21"/>
        <v>7342000</v>
      </c>
      <c r="O29" s="4">
        <f t="shared" ca="1" si="22"/>
        <v>2217145</v>
      </c>
      <c r="P29" s="4">
        <f t="shared" ca="1" si="48"/>
        <v>9559145</v>
      </c>
      <c r="Q29" s="2"/>
      <c r="R29" s="2"/>
      <c r="S29" s="2"/>
      <c r="T29" s="2"/>
      <c r="U29" s="4">
        <f t="shared" ca="1" si="23"/>
        <v>2464275.84</v>
      </c>
      <c r="V29" s="4">
        <f t="shared" ca="1" si="24"/>
        <v>744340.4</v>
      </c>
      <c r="W29" s="4">
        <f t="shared" ca="1" si="25"/>
        <v>3208616.2399999998</v>
      </c>
      <c r="X29" s="4">
        <f ca="1">SUMIF(норм2016!$Q$11:$AR$76,$C29,норм2016!$AZ$11:$AZ$76)</f>
        <v>354585</v>
      </c>
      <c r="Y29" s="4">
        <f t="shared" ca="1" si="49"/>
        <v>272000</v>
      </c>
      <c r="Z29" s="4">
        <f t="shared" ca="1" si="50"/>
        <v>82585</v>
      </c>
      <c r="AA29" s="4">
        <f t="shared" ca="1" si="26"/>
        <v>354585</v>
      </c>
      <c r="AB29" s="211">
        <f t="shared" ca="1" si="51"/>
        <v>2192275.84</v>
      </c>
      <c r="AC29" s="4">
        <f t="shared" ca="1" si="52"/>
        <v>661755.4</v>
      </c>
      <c r="AD29" s="4">
        <f t="shared" ca="1" si="27"/>
        <v>2854031.2399999998</v>
      </c>
      <c r="AE29" s="4">
        <f ca="1">SUMIF(норм2016!$Q$11:$AR$76,$C29,норм2016!$BC$11:$BC$76)</f>
        <v>3514370.28</v>
      </c>
      <c r="AF29" s="4">
        <f ca="1">SUMIF(норм2016!$Q$11:$AR$76,$C29,норм2016!$BM$11:$BM$76)</f>
        <v>1731139.67</v>
      </c>
      <c r="AG29" s="4">
        <v>478500</v>
      </c>
      <c r="AH29" s="211">
        <v>1313340.17</v>
      </c>
      <c r="AI29" s="4">
        <f>SUMIF(газ!$G$71:$G$147,C29,газ!$J$71:$J$147)*1000</f>
        <v>86110.239999999991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f t="shared" si="53"/>
        <v>1877950.41</v>
      </c>
      <c r="AR29" s="211">
        <f t="shared" ca="1" si="54"/>
        <v>-146810.74</v>
      </c>
      <c r="AS29" s="4"/>
      <c r="AT29" s="4">
        <f t="shared" ca="1" si="89"/>
        <v>146810.74</v>
      </c>
      <c r="AU29" s="4"/>
      <c r="AV29" s="4"/>
      <c r="AW29" s="4"/>
      <c r="AX29" s="4"/>
      <c r="AY29" s="4"/>
      <c r="AZ29" s="4"/>
      <c r="BA29" s="4"/>
      <c r="BB29" s="4"/>
      <c r="BC29" s="211">
        <f t="shared" ca="1" si="56"/>
        <v>146810.74</v>
      </c>
      <c r="BD29" s="4">
        <f t="shared" ca="1" si="57"/>
        <v>0</v>
      </c>
      <c r="BE29" s="4">
        <f t="shared" si="58"/>
        <v>478500</v>
      </c>
      <c r="BF29" s="4">
        <f t="shared" ca="1" si="59"/>
        <v>1166529.43</v>
      </c>
      <c r="BG29" s="4">
        <f t="shared" si="60"/>
        <v>86110.239999999991</v>
      </c>
      <c r="BH29" s="4">
        <f t="shared" si="61"/>
        <v>0</v>
      </c>
      <c r="BI29" s="4">
        <f t="shared" si="62"/>
        <v>0</v>
      </c>
      <c r="BJ29" s="4">
        <f t="shared" si="63"/>
        <v>0</v>
      </c>
      <c r="BK29" s="4">
        <f t="shared" si="64"/>
        <v>0</v>
      </c>
      <c r="BL29" s="4">
        <f t="shared" si="65"/>
        <v>0</v>
      </c>
      <c r="BM29" s="4">
        <f t="shared" si="66"/>
        <v>0</v>
      </c>
      <c r="BN29" s="4">
        <f t="shared" si="67"/>
        <v>0</v>
      </c>
      <c r="BO29" s="4">
        <f t="shared" ca="1" si="68"/>
        <v>1731139.67</v>
      </c>
      <c r="BP29" s="4">
        <v>0</v>
      </c>
      <c r="BQ29" s="211"/>
      <c r="BR29" s="4">
        <f t="shared" ca="1" si="29"/>
        <v>460100</v>
      </c>
      <c r="BS29" s="4">
        <f t="shared" ca="1" si="30"/>
        <v>138960.09999999998</v>
      </c>
      <c r="BT29" s="4">
        <f ca="1">SUMIF(норм2016!$Q$11:$AR$76,$C29,норм2016!$BE$11:$BE$76)</f>
        <v>599060.1</v>
      </c>
      <c r="BU29" s="4">
        <f ca="1">SUMIF(норм2016!$Q$11:$AR$76,$C29,норм2016!$BF$11:$BF$76)</f>
        <v>34137.5</v>
      </c>
      <c r="BV29" s="4">
        <f t="shared" ca="1" si="31"/>
        <v>633197.6</v>
      </c>
      <c r="BW29" s="4">
        <f t="shared" ca="1" si="69"/>
        <v>1150033.0099999998</v>
      </c>
      <c r="BX29" s="211">
        <v>13219.36</v>
      </c>
      <c r="BY29" s="211"/>
      <c r="BZ29" s="211">
        <v>39506.400000000001</v>
      </c>
      <c r="CA29" s="211">
        <v>6300</v>
      </c>
      <c r="CB29" s="211">
        <v>33488</v>
      </c>
      <c r="CC29" s="211">
        <v>71844.72</v>
      </c>
      <c r="CD29" s="211">
        <v>15000</v>
      </c>
      <c r="CE29" s="211"/>
      <c r="CF29" s="4">
        <f t="shared" si="70"/>
        <v>179358.48</v>
      </c>
      <c r="CG29" s="211">
        <v>7464.309999999823</v>
      </c>
      <c r="CH29" s="4">
        <f t="shared" ca="1" si="91"/>
        <v>970674.5299999998</v>
      </c>
      <c r="CI29" s="211">
        <f t="shared" ca="1" si="71"/>
        <v>739800</v>
      </c>
      <c r="CJ29" s="4">
        <f t="shared" ca="1" si="72"/>
        <v>223410.21999999997</v>
      </c>
      <c r="CK29" s="211">
        <f ca="1">ROUND(SUMIF(норм2016!$Q$11:$AR$76,$C29,норм2016!$BG$11:$BG$76),2)</f>
        <v>963210.22</v>
      </c>
      <c r="CL29" s="211">
        <f t="shared" ca="1" si="73"/>
        <v>0</v>
      </c>
      <c r="CM29" s="4">
        <f t="shared" ca="1" si="35"/>
        <v>1452475.8399999999</v>
      </c>
      <c r="CN29" s="4">
        <f t="shared" ca="1" si="36"/>
        <v>438345.18000000005</v>
      </c>
      <c r="CO29" s="4">
        <f t="shared" ca="1" si="37"/>
        <v>1890821.02</v>
      </c>
      <c r="CP29" s="4">
        <f t="shared" ca="1" si="38"/>
        <v>10266375.84</v>
      </c>
      <c r="CQ29" s="4">
        <f t="shared" ca="1" si="39"/>
        <v>3100445.5</v>
      </c>
      <c r="CR29" s="4">
        <f t="shared" ca="1" si="74"/>
        <v>13366821.34</v>
      </c>
      <c r="CS29" s="4">
        <f t="shared" ca="1" si="75"/>
        <v>9559145</v>
      </c>
      <c r="CT29" s="4">
        <f t="shared" ca="1" si="40"/>
        <v>354585</v>
      </c>
      <c r="CU29" s="4">
        <f t="shared" si="41"/>
        <v>0</v>
      </c>
      <c r="CV29" s="4">
        <f t="shared" ca="1" si="76"/>
        <v>3514370.28</v>
      </c>
      <c r="CW29" s="93">
        <f t="shared" ca="1" si="77"/>
        <v>13428100.279999999</v>
      </c>
      <c r="CX29" s="4">
        <f t="shared" ca="1" si="42"/>
        <v>0</v>
      </c>
      <c r="CY29" s="4">
        <f t="shared" ca="1" si="43"/>
        <v>0</v>
      </c>
      <c r="CZ29" s="4">
        <f t="shared" ca="1" si="78"/>
        <v>0</v>
      </c>
      <c r="DA29" s="216">
        <f t="shared" ca="1" si="44"/>
        <v>13428100.279999999</v>
      </c>
      <c r="DB29" s="4">
        <f t="shared" ca="1" si="45"/>
        <v>0</v>
      </c>
      <c r="DC29" s="211">
        <f t="shared" ca="1" si="46"/>
        <v>15318921.299999999</v>
      </c>
      <c r="DE29" s="4"/>
      <c r="DF29" s="4"/>
      <c r="DG29" s="4"/>
      <c r="DH29" s="4"/>
      <c r="DI29" s="4"/>
      <c r="DJ29" s="4"/>
      <c r="DK29" s="4">
        <f t="shared" ca="1" si="79"/>
        <v>146810.74</v>
      </c>
      <c r="DL29" s="4">
        <v>0</v>
      </c>
      <c r="DM29" s="4">
        <f t="shared" si="80"/>
        <v>0</v>
      </c>
      <c r="DN29" s="211">
        <f t="shared" si="81"/>
        <v>0</v>
      </c>
      <c r="DO29" s="218">
        <f t="shared" ca="1" si="82"/>
        <v>146810.74</v>
      </c>
      <c r="DP29" s="219">
        <f t="shared" ca="1" si="83"/>
        <v>15465732.039999999</v>
      </c>
      <c r="DQ29" s="8" t="s">
        <v>101</v>
      </c>
      <c r="EA29" s="1" t="s">
        <v>363</v>
      </c>
      <c r="EB29" s="10">
        <v>1313340.17</v>
      </c>
      <c r="EC29" s="223">
        <v>0</v>
      </c>
    </row>
    <row r="30" spans="1:133">
      <c r="A30" s="12">
        <v>21</v>
      </c>
      <c r="B30" s="3" t="s">
        <v>65</v>
      </c>
      <c r="C30" s="12" t="s">
        <v>225</v>
      </c>
      <c r="D30" s="102"/>
      <c r="E30" s="102"/>
      <c r="F30" s="102"/>
      <c r="G30" s="4">
        <v>734601.6999999996</v>
      </c>
      <c r="H30" s="211">
        <v>708866.9800000001</v>
      </c>
      <c r="I30" s="4">
        <f t="shared" si="47"/>
        <v>8506403.7600000016</v>
      </c>
      <c r="J30" s="4">
        <f t="shared" si="19"/>
        <v>2568933.94</v>
      </c>
      <c r="K30" s="4">
        <f t="shared" si="20"/>
        <v>11075337.700000001</v>
      </c>
      <c r="L30" s="4">
        <f ca="1">SUMIF(норм2016!$Q$11:$AR$76,C30,норм2016!$AX$11:$AX$76)</f>
        <v>8111696</v>
      </c>
      <c r="M30" s="4">
        <f ca="1">SUMIF(норм2016!$Q$11:$AR$76,$C30,норм2016!$AY$11:$AY$76)</f>
        <v>7135888</v>
      </c>
      <c r="N30" s="4">
        <f t="shared" ca="1" si="21"/>
        <v>5481000</v>
      </c>
      <c r="O30" s="4">
        <f t="shared" ca="1" si="22"/>
        <v>1654888</v>
      </c>
      <c r="P30" s="4">
        <f t="shared" ca="1" si="48"/>
        <v>7135888</v>
      </c>
      <c r="Q30" s="2"/>
      <c r="R30" s="2"/>
      <c r="S30" s="2"/>
      <c r="T30" s="2"/>
      <c r="U30" s="4">
        <f t="shared" ca="1" si="23"/>
        <v>2800703.7600000016</v>
      </c>
      <c r="V30" s="4">
        <f t="shared" ca="1" si="24"/>
        <v>846180.76</v>
      </c>
      <c r="W30" s="4">
        <f t="shared" ref="W30:W41" ca="1" si="92">SUM(U30:V30)</f>
        <v>3646884.5200000014</v>
      </c>
      <c r="X30" s="4">
        <f ca="1">SUMIF(норм2016!$Q$11:$AR$76,$C30,норм2016!$AZ$11:$AZ$76)</f>
        <v>975808</v>
      </c>
      <c r="Y30" s="4">
        <f t="shared" ca="1" si="49"/>
        <v>749000</v>
      </c>
      <c r="Z30" s="4">
        <f t="shared" ca="1" si="50"/>
        <v>226808</v>
      </c>
      <c r="AA30" s="4">
        <f t="shared" ca="1" si="26"/>
        <v>975808</v>
      </c>
      <c r="AB30" s="211">
        <f t="shared" ca="1" si="51"/>
        <v>2051703.76</v>
      </c>
      <c r="AC30" s="4">
        <f t="shared" ca="1" si="52"/>
        <v>619372.76</v>
      </c>
      <c r="AD30" s="4">
        <f t="shared" ref="AD30:AD41" ca="1" si="93">SUM(AB30:AC30)</f>
        <v>2671076.52</v>
      </c>
      <c r="AE30" s="4">
        <f ca="1">SUMIF(норм2016!$Q$11:$AR$76,$C30,норм2016!$BC$11:$BC$76)</f>
        <v>4078904.85</v>
      </c>
      <c r="AF30" s="4">
        <f ca="1">SUMIF(норм2016!$Q$11:$AR$76,$C30,норм2016!$BM$11:$BM$76)</f>
        <v>2718115.32</v>
      </c>
      <c r="AG30" s="4">
        <v>1314500</v>
      </c>
      <c r="AH30" s="211">
        <v>1340017.79</v>
      </c>
      <c r="AI30" s="4">
        <f>SUMIF(газ!$G$71:$G$147,C30,газ!$J$71:$J$147)*1000</f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f t="shared" si="53"/>
        <v>2654517.79</v>
      </c>
      <c r="AR30" s="211">
        <f t="shared" ca="1" si="54"/>
        <v>63597.53</v>
      </c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211">
        <f t="shared" si="56"/>
        <v>0</v>
      </c>
      <c r="BD30" s="4">
        <f t="shared" ca="1" si="57"/>
        <v>63597.53</v>
      </c>
      <c r="BE30" s="4">
        <f t="shared" si="58"/>
        <v>1314500</v>
      </c>
      <c r="BF30" s="4">
        <f t="shared" si="59"/>
        <v>1340017.79</v>
      </c>
      <c r="BG30" s="4">
        <f t="shared" si="60"/>
        <v>0</v>
      </c>
      <c r="BH30" s="4">
        <f t="shared" si="61"/>
        <v>0</v>
      </c>
      <c r="BI30" s="4">
        <f t="shared" si="62"/>
        <v>0</v>
      </c>
      <c r="BJ30" s="4">
        <f t="shared" si="63"/>
        <v>0</v>
      </c>
      <c r="BK30" s="4">
        <f t="shared" si="64"/>
        <v>0</v>
      </c>
      <c r="BL30" s="4">
        <f t="shared" si="65"/>
        <v>0</v>
      </c>
      <c r="BM30" s="4">
        <f t="shared" si="66"/>
        <v>0</v>
      </c>
      <c r="BN30" s="4">
        <f t="shared" si="67"/>
        <v>0</v>
      </c>
      <c r="BO30" s="4">
        <f t="shared" si="68"/>
        <v>2654517.79</v>
      </c>
      <c r="BP30" s="4">
        <v>0</v>
      </c>
      <c r="BQ30" s="211"/>
      <c r="BR30" s="4">
        <f t="shared" ref="BR30:BR41" ca="1" si="94">ROUND(BT30/1.302,-2)</f>
        <v>224700</v>
      </c>
      <c r="BS30" s="4">
        <f t="shared" ref="BS30:BS41" ca="1" si="95">BT30-BR30</f>
        <v>67865.179999999993</v>
      </c>
      <c r="BT30" s="4">
        <f ca="1">SUMIF(норм2016!$Q$11:$AR$76,$C30,норм2016!$BE$11:$BE$76)</f>
        <v>292565.18</v>
      </c>
      <c r="BU30" s="4">
        <f ca="1">SUMIF(норм2016!$Q$11:$AR$76,$C30,норм2016!$BF$11:$BF$76)</f>
        <v>29428.880000000001</v>
      </c>
      <c r="BV30" s="4">
        <f t="shared" ca="1" si="31"/>
        <v>321994.06</v>
      </c>
      <c r="BW30" s="4">
        <f t="shared" ca="1" si="69"/>
        <v>1102393</v>
      </c>
      <c r="BX30" s="211"/>
      <c r="BY30" s="211"/>
      <c r="BZ30" s="211">
        <v>47506.8</v>
      </c>
      <c r="CA30" s="211">
        <v>10374</v>
      </c>
      <c r="CB30" s="211">
        <v>22146</v>
      </c>
      <c r="CC30" s="211"/>
      <c r="CD30" s="211">
        <v>1260</v>
      </c>
      <c r="CE30" s="211">
        <v>9000</v>
      </c>
      <c r="CF30" s="4">
        <f t="shared" si="70"/>
        <v>90286.8</v>
      </c>
      <c r="CG30" s="211">
        <v>205092.24</v>
      </c>
      <c r="CH30" s="4">
        <f t="shared" ca="1" si="91"/>
        <v>1012106.2</v>
      </c>
      <c r="CI30" s="211">
        <f t="shared" ca="1" si="71"/>
        <v>619800</v>
      </c>
      <c r="CJ30" s="4">
        <f t="shared" ca="1" si="72"/>
        <v>187213.95999999996</v>
      </c>
      <c r="CK30" s="211">
        <f ca="1">ROUND(SUMIF(норм2016!$Q$11:$AR$76,$C30,норм2016!$BG$11:$BG$76),2)</f>
        <v>807013.96</v>
      </c>
      <c r="CL30" s="211">
        <f t="shared" ca="1" si="73"/>
        <v>0</v>
      </c>
      <c r="CM30" s="4">
        <f t="shared" ca="1" si="35"/>
        <v>1431903.76</v>
      </c>
      <c r="CN30" s="4">
        <f t="shared" ca="1" si="36"/>
        <v>432158.80000000005</v>
      </c>
      <c r="CO30" s="4">
        <f t="shared" ca="1" si="37"/>
        <v>1864062.56</v>
      </c>
      <c r="CP30" s="4">
        <f t="shared" ca="1" si="38"/>
        <v>8506403.7599999998</v>
      </c>
      <c r="CQ30" s="4">
        <f t="shared" ca="1" si="39"/>
        <v>2568933.94</v>
      </c>
      <c r="CR30" s="4">
        <f t="shared" ca="1" si="74"/>
        <v>11075337.699999999</v>
      </c>
      <c r="CS30" s="4">
        <f t="shared" ca="1" si="75"/>
        <v>7135888</v>
      </c>
      <c r="CT30" s="4">
        <f t="shared" ca="1" si="40"/>
        <v>975808</v>
      </c>
      <c r="CU30" s="4">
        <f t="shared" si="41"/>
        <v>0</v>
      </c>
      <c r="CV30" s="4">
        <f t="shared" ca="1" si="76"/>
        <v>4078904.8499999996</v>
      </c>
      <c r="CW30" s="93">
        <f t="shared" ca="1" si="77"/>
        <v>12190600.85</v>
      </c>
      <c r="CX30" s="4">
        <f t="shared" ca="1" si="42"/>
        <v>0</v>
      </c>
      <c r="CY30" s="4">
        <f t="shared" ca="1" si="43"/>
        <v>0</v>
      </c>
      <c r="CZ30" s="4">
        <f t="shared" ca="1" si="78"/>
        <v>0</v>
      </c>
      <c r="DA30" s="216">
        <f t="shared" ca="1" si="44"/>
        <v>12190600.85</v>
      </c>
      <c r="DB30" s="4">
        <f t="shared" ca="1" si="45"/>
        <v>0</v>
      </c>
      <c r="DC30" s="211">
        <f t="shared" ca="1" si="46"/>
        <v>14054663.41</v>
      </c>
      <c r="DE30" s="4"/>
      <c r="DF30" s="4"/>
      <c r="DG30" s="4"/>
      <c r="DH30" s="4"/>
      <c r="DI30" s="4"/>
      <c r="DJ30" s="4"/>
      <c r="DK30" s="4">
        <f t="shared" si="79"/>
        <v>0</v>
      </c>
      <c r="DL30" s="4">
        <v>0</v>
      </c>
      <c r="DM30" s="4">
        <f t="shared" si="80"/>
        <v>0</v>
      </c>
      <c r="DN30" s="211">
        <f t="shared" si="81"/>
        <v>0</v>
      </c>
      <c r="DO30" s="218">
        <f t="shared" si="82"/>
        <v>0</v>
      </c>
      <c r="DP30" s="219">
        <f t="shared" ca="1" si="83"/>
        <v>14054663.41</v>
      </c>
      <c r="DQ30" s="8" t="s">
        <v>97</v>
      </c>
      <c r="EA30" s="1" t="s">
        <v>363</v>
      </c>
      <c r="EB30" s="10">
        <v>1340017.79</v>
      </c>
      <c r="EC30" s="223">
        <v>0</v>
      </c>
    </row>
    <row r="31" spans="1:133">
      <c r="A31" s="12">
        <v>22</v>
      </c>
      <c r="B31" s="3" t="s">
        <v>67</v>
      </c>
      <c r="C31" s="12" t="s">
        <v>227</v>
      </c>
      <c r="D31" s="102"/>
      <c r="E31" s="102"/>
      <c r="F31" s="102"/>
      <c r="G31" s="4">
        <v>645512.16999999981</v>
      </c>
      <c r="H31" s="211">
        <v>662978.87999999989</v>
      </c>
      <c r="I31" s="4">
        <f t="shared" si="47"/>
        <v>7955746.5599999987</v>
      </c>
      <c r="J31" s="4">
        <f t="shared" si="19"/>
        <v>2402635.46</v>
      </c>
      <c r="K31" s="4">
        <f t="shared" si="20"/>
        <v>10358382.02</v>
      </c>
      <c r="L31" s="4">
        <f ca="1">SUMIF(норм2016!$Q$11:$AR$76,C31,норм2016!$AX$11:$AX$76)</f>
        <v>6936479.5</v>
      </c>
      <c r="M31" s="4">
        <f ca="1">SUMIF(норм2016!$Q$11:$AR$76,$C31,норм2016!$AY$11:$AY$76)</f>
        <v>5309989</v>
      </c>
      <c r="N31" s="4">
        <f t="shared" ca="1" si="21"/>
        <v>4078000</v>
      </c>
      <c r="O31" s="4">
        <f t="shared" ca="1" si="22"/>
        <v>1231989</v>
      </c>
      <c r="P31" s="4">
        <f t="shared" ca="1" si="48"/>
        <v>5309989</v>
      </c>
      <c r="Q31" s="2"/>
      <c r="R31" s="2"/>
      <c r="S31" s="2"/>
      <c r="T31" s="2"/>
      <c r="U31" s="4">
        <f t="shared" ca="1" si="23"/>
        <v>3646946.5599999987</v>
      </c>
      <c r="V31" s="4">
        <f t="shared" ca="1" si="24"/>
        <v>1101004.1299999999</v>
      </c>
      <c r="W31" s="4">
        <f t="shared" ca="1" si="92"/>
        <v>4747950.6899999985</v>
      </c>
      <c r="X31" s="4">
        <f ca="1">SUMIF(норм2016!$Q$11:$AR$76,$C31,норм2016!$AZ$11:$AZ$76)</f>
        <v>1626490.5</v>
      </c>
      <c r="Y31" s="4">
        <f t="shared" ca="1" si="49"/>
        <v>1249000</v>
      </c>
      <c r="Z31" s="4">
        <f t="shared" ca="1" si="50"/>
        <v>377490.5</v>
      </c>
      <c r="AA31" s="4">
        <f t="shared" ca="1" si="26"/>
        <v>1626490.5</v>
      </c>
      <c r="AB31" s="211">
        <f t="shared" ca="1" si="51"/>
        <v>2397946.56</v>
      </c>
      <c r="AC31" s="4">
        <f t="shared" ca="1" si="52"/>
        <v>723513.62999999989</v>
      </c>
      <c r="AD31" s="4">
        <f t="shared" ca="1" si="93"/>
        <v>3121460.19</v>
      </c>
      <c r="AE31" s="4">
        <f ca="1">SUMIF(норм2016!$Q$11:$AR$76,$C31,норм2016!$BC$11:$BC$76)</f>
        <v>3003744.39</v>
      </c>
      <c r="AF31" s="4">
        <f ca="1">SUMIF(норм2016!$Q$11:$AR$76,$C31,норм2016!$BM$11:$BM$76)</f>
        <v>1658829.37</v>
      </c>
      <c r="AG31" s="4">
        <v>896500</v>
      </c>
      <c r="AH31" s="211">
        <v>1009157.92</v>
      </c>
      <c r="AI31" s="4">
        <f>SUMIF(газ!$G$71:$G$147,C31,газ!$J$71:$J$147)*1000</f>
        <v>17916.519999999997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f t="shared" si="53"/>
        <v>1923574.44</v>
      </c>
      <c r="AR31" s="211">
        <f t="shared" ca="1" si="54"/>
        <v>-264745.07</v>
      </c>
      <c r="AS31" s="4"/>
      <c r="AT31" s="4">
        <f t="shared" ca="1" si="89"/>
        <v>264745.07</v>
      </c>
      <c r="AU31" s="4"/>
      <c r="AV31" s="4"/>
      <c r="AW31" s="4"/>
      <c r="AX31" s="4"/>
      <c r="AY31" s="4"/>
      <c r="AZ31" s="4"/>
      <c r="BA31" s="4"/>
      <c r="BB31" s="4"/>
      <c r="BC31" s="211">
        <f t="shared" ca="1" si="56"/>
        <v>264745.07</v>
      </c>
      <c r="BD31" s="4">
        <f t="shared" ca="1" si="57"/>
        <v>0</v>
      </c>
      <c r="BE31" s="4">
        <f t="shared" si="58"/>
        <v>896500</v>
      </c>
      <c r="BF31" s="4">
        <f t="shared" ca="1" si="59"/>
        <v>744412.85000000009</v>
      </c>
      <c r="BG31" s="4">
        <f t="shared" si="60"/>
        <v>17916.519999999997</v>
      </c>
      <c r="BH31" s="4">
        <f t="shared" si="61"/>
        <v>0</v>
      </c>
      <c r="BI31" s="4">
        <f t="shared" si="62"/>
        <v>0</v>
      </c>
      <c r="BJ31" s="4">
        <f t="shared" si="63"/>
        <v>0</v>
      </c>
      <c r="BK31" s="4">
        <f t="shared" si="64"/>
        <v>0</v>
      </c>
      <c r="BL31" s="4">
        <f t="shared" si="65"/>
        <v>0</v>
      </c>
      <c r="BM31" s="4">
        <f t="shared" si="66"/>
        <v>0</v>
      </c>
      <c r="BN31" s="4">
        <f t="shared" si="67"/>
        <v>0</v>
      </c>
      <c r="BO31" s="4">
        <f t="shared" ca="1" si="68"/>
        <v>1658829.37</v>
      </c>
      <c r="BP31" s="4">
        <v>0</v>
      </c>
      <c r="BQ31" s="211"/>
      <c r="BR31" s="4">
        <f t="shared" ca="1" si="94"/>
        <v>230800</v>
      </c>
      <c r="BS31" s="4">
        <f t="shared" ca="1" si="95"/>
        <v>69642.330000000016</v>
      </c>
      <c r="BT31" s="4">
        <f ca="1">SUMIF(норм2016!$Q$11:$AR$76,$C31,норм2016!$BE$11:$BE$76)</f>
        <v>300442.33</v>
      </c>
      <c r="BU31" s="4">
        <f ca="1">SUMIF(норм2016!$Q$11:$AR$76,$C31,норм2016!$BF$11:$BF$76)</f>
        <v>0</v>
      </c>
      <c r="BV31" s="4">
        <f t="shared" ca="1" si="31"/>
        <v>300442.33</v>
      </c>
      <c r="BW31" s="4">
        <f t="shared" ca="1" si="69"/>
        <v>1044472.69</v>
      </c>
      <c r="BX31" s="211">
        <v>11330.88</v>
      </c>
      <c r="BY31" s="211"/>
      <c r="BZ31" s="211">
        <v>38798.400000000001</v>
      </c>
      <c r="CA31" s="211">
        <v>2352</v>
      </c>
      <c r="CB31" s="211">
        <v>22146</v>
      </c>
      <c r="CC31" s="211"/>
      <c r="CD31" s="211">
        <v>15992.03</v>
      </c>
      <c r="CE31" s="211">
        <v>6300</v>
      </c>
      <c r="CF31" s="4">
        <f t="shared" si="70"/>
        <v>96919.31</v>
      </c>
      <c r="CG31" s="211">
        <v>140539.41999999993</v>
      </c>
      <c r="CH31" s="4">
        <f t="shared" ca="1" si="91"/>
        <v>947553.37999999989</v>
      </c>
      <c r="CI31" s="211">
        <f t="shared" ca="1" si="71"/>
        <v>619800</v>
      </c>
      <c r="CJ31" s="4">
        <f t="shared" ca="1" si="72"/>
        <v>187213.95999999996</v>
      </c>
      <c r="CK31" s="211">
        <f ca="1">ROUND(SUMIF(норм2016!$Q$11:$AR$76,$C31,норм2016!$BG$11:$BG$76),2)</f>
        <v>807013.96</v>
      </c>
      <c r="CL31" s="211">
        <f t="shared" ca="1" si="73"/>
        <v>0</v>
      </c>
      <c r="CM31" s="4">
        <f t="shared" ca="1" si="35"/>
        <v>1778146.56</v>
      </c>
      <c r="CN31" s="4">
        <f t="shared" ca="1" si="36"/>
        <v>536299.66999999993</v>
      </c>
      <c r="CO31" s="4">
        <f t="shared" ca="1" si="37"/>
        <v>2314446.23</v>
      </c>
      <c r="CP31" s="4">
        <f t="shared" ca="1" si="38"/>
        <v>7955746.5600000005</v>
      </c>
      <c r="CQ31" s="4">
        <f t="shared" ca="1" si="39"/>
        <v>2402635.46</v>
      </c>
      <c r="CR31" s="4">
        <f t="shared" ca="1" si="74"/>
        <v>10358382.02</v>
      </c>
      <c r="CS31" s="4">
        <f t="shared" ca="1" si="75"/>
        <v>5309989</v>
      </c>
      <c r="CT31" s="4">
        <f t="shared" ca="1" si="40"/>
        <v>1626490.5</v>
      </c>
      <c r="CU31" s="4">
        <f t="shared" si="41"/>
        <v>0</v>
      </c>
      <c r="CV31" s="4">
        <f t="shared" ca="1" si="76"/>
        <v>3003744.39</v>
      </c>
      <c r="CW31" s="93">
        <f t="shared" ca="1" si="77"/>
        <v>9940223.8900000006</v>
      </c>
      <c r="CX31" s="4">
        <f t="shared" ca="1" si="42"/>
        <v>0</v>
      </c>
      <c r="CY31" s="4">
        <f t="shared" ca="1" si="43"/>
        <v>0</v>
      </c>
      <c r="CZ31" s="4">
        <f t="shared" ca="1" si="78"/>
        <v>0</v>
      </c>
      <c r="DA31" s="216">
        <f t="shared" ca="1" si="44"/>
        <v>9940223.8900000006</v>
      </c>
      <c r="DB31" s="4">
        <f t="shared" ca="1" si="45"/>
        <v>0</v>
      </c>
      <c r="DC31" s="211">
        <f t="shared" ca="1" si="46"/>
        <v>12254670.120000001</v>
      </c>
      <c r="DE31" s="4"/>
      <c r="DF31" s="4"/>
      <c r="DG31" s="4"/>
      <c r="DH31" s="4"/>
      <c r="DI31" s="4"/>
      <c r="DJ31" s="4"/>
      <c r="DK31" s="4">
        <f t="shared" ca="1" si="79"/>
        <v>264745.07</v>
      </c>
      <c r="DL31" s="4">
        <v>0</v>
      </c>
      <c r="DM31" s="4">
        <f t="shared" si="80"/>
        <v>0</v>
      </c>
      <c r="DN31" s="211">
        <f t="shared" si="81"/>
        <v>0</v>
      </c>
      <c r="DO31" s="218">
        <f t="shared" ca="1" si="82"/>
        <v>264745.07</v>
      </c>
      <c r="DP31" s="219">
        <f t="shared" ca="1" si="83"/>
        <v>12519415.190000001</v>
      </c>
      <c r="DQ31" s="8" t="s">
        <v>114</v>
      </c>
      <c r="EA31" s="1" t="s">
        <v>363</v>
      </c>
      <c r="EB31" s="10">
        <v>1009157.92</v>
      </c>
      <c r="EC31" s="223">
        <v>0</v>
      </c>
    </row>
    <row r="32" spans="1:133">
      <c r="A32" s="12">
        <v>23</v>
      </c>
      <c r="B32" s="3" t="s">
        <v>66</v>
      </c>
      <c r="C32" s="12" t="s">
        <v>228</v>
      </c>
      <c r="D32" s="102"/>
      <c r="E32" s="102"/>
      <c r="F32" s="102"/>
      <c r="G32" s="4">
        <v>585294.70999999985</v>
      </c>
      <c r="H32" s="211">
        <v>556891.40999999992</v>
      </c>
      <c r="I32" s="4">
        <f t="shared" si="47"/>
        <v>6682696.919999999</v>
      </c>
      <c r="J32" s="4">
        <f t="shared" si="19"/>
        <v>2018174.47</v>
      </c>
      <c r="K32" s="4">
        <f t="shared" si="20"/>
        <v>8700871.3899999987</v>
      </c>
      <c r="L32" s="4">
        <f ca="1">SUMIF(норм2016!$Q$11:$AR$76,C32,норм2016!$AX$11:$AX$76)</f>
        <v>6318631.5</v>
      </c>
      <c r="M32" s="4">
        <f ca="1">SUMIF(норм2016!$Q$11:$AR$76,$C32,норм2016!$AY$11:$AY$76)</f>
        <v>4384854</v>
      </c>
      <c r="N32" s="4">
        <f t="shared" ca="1" si="21"/>
        <v>3368000</v>
      </c>
      <c r="O32" s="4">
        <f t="shared" ca="1" si="22"/>
        <v>1016854</v>
      </c>
      <c r="P32" s="4">
        <f t="shared" ca="1" si="48"/>
        <v>4384854</v>
      </c>
      <c r="Q32" s="2"/>
      <c r="R32" s="2"/>
      <c r="S32" s="2"/>
      <c r="T32" s="2"/>
      <c r="U32" s="4">
        <f t="shared" ca="1" si="23"/>
        <v>3124096.919999999</v>
      </c>
      <c r="V32" s="4">
        <f t="shared" ca="1" si="24"/>
        <v>943794.32</v>
      </c>
      <c r="W32" s="4">
        <f t="shared" ca="1" si="92"/>
        <v>4067891.2399999988</v>
      </c>
      <c r="X32" s="4">
        <f ca="1">SUMIF(норм2016!$Q$11:$AR$76,$C32,норм2016!$AZ$11:$AZ$76)</f>
        <v>1933777.5</v>
      </c>
      <c r="Y32" s="4">
        <f t="shared" ca="1" si="49"/>
        <v>1485000</v>
      </c>
      <c r="Z32" s="4">
        <f t="shared" ca="1" si="50"/>
        <v>448777.5</v>
      </c>
      <c r="AA32" s="4">
        <f t="shared" ca="1" si="26"/>
        <v>1933777.5</v>
      </c>
      <c r="AB32" s="211">
        <f t="shared" ca="1" si="51"/>
        <v>1639096.92</v>
      </c>
      <c r="AC32" s="4">
        <f t="shared" ca="1" si="52"/>
        <v>495016.81999999995</v>
      </c>
      <c r="AD32" s="4">
        <f t="shared" ca="1" si="93"/>
        <v>2134113.7399999998</v>
      </c>
      <c r="AE32" s="4">
        <f ca="1">SUMIF(норм2016!$Q$11:$AR$76,$C32,норм2016!$BC$11:$BC$76)</f>
        <v>2308043.83</v>
      </c>
      <c r="AF32" s="4">
        <f ca="1">SUMIF(норм2016!$Q$11:$AR$76,$C32,норм2016!$BM$11:$BM$76)</f>
        <v>1236898.7</v>
      </c>
      <c r="AG32" s="4">
        <v>143000</v>
      </c>
      <c r="AH32" s="211">
        <v>936797.97</v>
      </c>
      <c r="AI32" s="4">
        <f>SUMIF(газ!$G$71:$G$147,C32,газ!$J$71:$J$147)*1000</f>
        <v>53905.4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f t="shared" si="53"/>
        <v>1133703.3699999999</v>
      </c>
      <c r="AR32" s="211">
        <f t="shared" ca="1" si="54"/>
        <v>103195.33</v>
      </c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211">
        <f t="shared" si="56"/>
        <v>0</v>
      </c>
      <c r="BD32" s="4">
        <f t="shared" ca="1" si="57"/>
        <v>103195.33</v>
      </c>
      <c r="BE32" s="4">
        <f t="shared" si="58"/>
        <v>143000</v>
      </c>
      <c r="BF32" s="4">
        <f t="shared" si="59"/>
        <v>936797.97</v>
      </c>
      <c r="BG32" s="4">
        <f t="shared" si="60"/>
        <v>53905.4</v>
      </c>
      <c r="BH32" s="4">
        <f t="shared" si="61"/>
        <v>0</v>
      </c>
      <c r="BI32" s="4">
        <f t="shared" si="62"/>
        <v>0</v>
      </c>
      <c r="BJ32" s="4">
        <f t="shared" si="63"/>
        <v>0</v>
      </c>
      <c r="BK32" s="4">
        <f t="shared" si="64"/>
        <v>0</v>
      </c>
      <c r="BL32" s="4">
        <f t="shared" si="65"/>
        <v>0</v>
      </c>
      <c r="BM32" s="4">
        <f t="shared" si="66"/>
        <v>0</v>
      </c>
      <c r="BN32" s="4">
        <f t="shared" si="67"/>
        <v>0</v>
      </c>
      <c r="BO32" s="4">
        <f t="shared" si="68"/>
        <v>1133703.3699999999</v>
      </c>
      <c r="BP32" s="115">
        <f>20000-20000</f>
        <v>0</v>
      </c>
      <c r="BQ32" s="115"/>
      <c r="BR32" s="4">
        <f t="shared" ca="1" si="94"/>
        <v>190600</v>
      </c>
      <c r="BS32" s="4">
        <f t="shared" ca="1" si="95"/>
        <v>57526.149999999994</v>
      </c>
      <c r="BT32" s="4">
        <f ca="1">SUMIF(норм2016!$Q$11:$AR$76,$C32,норм2016!$BE$11:$BE$76)</f>
        <v>248126.15</v>
      </c>
      <c r="BU32" s="4">
        <f ca="1">SUMIF(норм2016!$Q$11:$AR$76,$C32,норм2016!$BF$11:$BF$76)</f>
        <v>0</v>
      </c>
      <c r="BV32" s="4">
        <f t="shared" ca="1" si="31"/>
        <v>248126.15</v>
      </c>
      <c r="BW32" s="4">
        <f t="shared" ca="1" si="69"/>
        <v>926214.31000000017</v>
      </c>
      <c r="BX32" s="211">
        <v>10049.200000000001</v>
      </c>
      <c r="BY32" s="211"/>
      <c r="BZ32" s="211">
        <v>28656.959999999999</v>
      </c>
      <c r="CA32" s="211">
        <v>5040</v>
      </c>
      <c r="CB32" s="211">
        <v>18419</v>
      </c>
      <c r="CC32" s="211"/>
      <c r="CD32" s="211">
        <v>5985</v>
      </c>
      <c r="CE32" s="211"/>
      <c r="CF32" s="4">
        <f t="shared" si="70"/>
        <v>68150.16</v>
      </c>
      <c r="CG32" s="211">
        <v>181213.7300000001</v>
      </c>
      <c r="CH32" s="4">
        <f t="shared" ca="1" si="91"/>
        <v>858064.15000000014</v>
      </c>
      <c r="CI32" s="211">
        <f t="shared" ca="1" si="71"/>
        <v>519900</v>
      </c>
      <c r="CJ32" s="4">
        <f t="shared" ca="1" si="72"/>
        <v>156950.42000000004</v>
      </c>
      <c r="CK32" s="211">
        <f ca="1">ROUND(SUMIF(норм2016!$Q$11:$AR$76,$C32,норм2016!$BG$11:$BG$76),2)</f>
        <v>676850.42</v>
      </c>
      <c r="CL32" s="211">
        <f t="shared" ca="1" si="73"/>
        <v>0</v>
      </c>
      <c r="CM32" s="4">
        <f t="shared" ca="1" si="35"/>
        <v>1119196.92</v>
      </c>
      <c r="CN32" s="4">
        <f t="shared" ca="1" si="36"/>
        <v>338066.39999999991</v>
      </c>
      <c r="CO32" s="4">
        <f t="shared" ca="1" si="37"/>
        <v>1457263.3199999998</v>
      </c>
      <c r="CP32" s="4">
        <f t="shared" ca="1" si="38"/>
        <v>6682696.9199999999</v>
      </c>
      <c r="CQ32" s="4">
        <f t="shared" ca="1" si="39"/>
        <v>2018174.4699999997</v>
      </c>
      <c r="CR32" s="4">
        <f t="shared" ca="1" si="74"/>
        <v>8700871.3900000006</v>
      </c>
      <c r="CS32" s="4">
        <f t="shared" ca="1" si="75"/>
        <v>4384854</v>
      </c>
      <c r="CT32" s="4">
        <f t="shared" ca="1" si="40"/>
        <v>1933777.5</v>
      </c>
      <c r="CU32" s="4">
        <f t="shared" si="41"/>
        <v>0</v>
      </c>
      <c r="CV32" s="4">
        <f t="shared" ca="1" si="76"/>
        <v>2308043.83</v>
      </c>
      <c r="CW32" s="93">
        <f t="shared" ca="1" si="77"/>
        <v>8626675.3300000001</v>
      </c>
      <c r="CX32" s="4">
        <f t="shared" ca="1" si="42"/>
        <v>0</v>
      </c>
      <c r="CY32" s="4">
        <f t="shared" ca="1" si="43"/>
        <v>0</v>
      </c>
      <c r="CZ32" s="4">
        <f t="shared" ca="1" si="78"/>
        <v>0</v>
      </c>
      <c r="DA32" s="216">
        <f t="shared" ca="1" si="44"/>
        <v>8626675.3300000001</v>
      </c>
      <c r="DB32" s="4">
        <f t="shared" ca="1" si="45"/>
        <v>0</v>
      </c>
      <c r="DC32" s="211">
        <f t="shared" ca="1" si="46"/>
        <v>10083938.65</v>
      </c>
      <c r="DE32" s="4"/>
      <c r="DF32" s="4"/>
      <c r="DG32" s="4"/>
      <c r="DH32" s="4"/>
      <c r="DI32" s="4"/>
      <c r="DJ32" s="4"/>
      <c r="DK32" s="4">
        <f t="shared" si="79"/>
        <v>0</v>
      </c>
      <c r="DL32" s="4">
        <v>0</v>
      </c>
      <c r="DM32" s="4">
        <f t="shared" si="80"/>
        <v>0</v>
      </c>
      <c r="DN32" s="211">
        <f t="shared" si="81"/>
        <v>0</v>
      </c>
      <c r="DO32" s="218">
        <f t="shared" si="82"/>
        <v>0</v>
      </c>
      <c r="DP32" s="219">
        <f t="shared" ca="1" si="83"/>
        <v>10083938.65</v>
      </c>
      <c r="DQ32" s="9" t="s">
        <v>115</v>
      </c>
      <c r="EA32" s="1" t="s">
        <v>363</v>
      </c>
      <c r="EB32" s="10">
        <v>936797.97</v>
      </c>
      <c r="EC32" s="223">
        <v>0</v>
      </c>
    </row>
    <row r="33" spans="1:133">
      <c r="A33" s="12">
        <v>24</v>
      </c>
      <c r="B33" s="3" t="s">
        <v>68</v>
      </c>
      <c r="C33" s="12" t="s">
        <v>230</v>
      </c>
      <c r="D33" s="102"/>
      <c r="E33" s="102"/>
      <c r="F33" s="102"/>
      <c r="G33" s="4">
        <v>604889.21</v>
      </c>
      <c r="H33" s="211">
        <v>606087.89</v>
      </c>
      <c r="I33" s="4">
        <f t="shared" si="47"/>
        <v>7273054.6799999997</v>
      </c>
      <c r="J33" s="4">
        <f t="shared" si="19"/>
        <v>2196462.5099999998</v>
      </c>
      <c r="K33" s="4">
        <f t="shared" si="20"/>
        <v>9469517.1899999995</v>
      </c>
      <c r="L33" s="4">
        <f ca="1">SUMIF(норм2016!$Q$11:$AR$76,C33,норм2016!$AX$11:$AX$76)</f>
        <v>6842934.5</v>
      </c>
      <c r="M33" s="4">
        <f ca="1">SUMIF(норм2016!$Q$11:$AR$76,$C33,норм2016!$AY$11:$AY$76)</f>
        <v>5114277</v>
      </c>
      <c r="N33" s="4">
        <f t="shared" ca="1" si="21"/>
        <v>3928000</v>
      </c>
      <c r="O33" s="4">
        <f t="shared" ca="1" si="22"/>
        <v>1186277</v>
      </c>
      <c r="P33" s="4">
        <f t="shared" ca="1" si="48"/>
        <v>5114277</v>
      </c>
      <c r="Q33" s="2"/>
      <c r="R33" s="2"/>
      <c r="S33" s="2"/>
      <c r="T33" s="2"/>
      <c r="U33" s="4">
        <f t="shared" ca="1" si="23"/>
        <v>3185854.6799999997</v>
      </c>
      <c r="V33" s="4">
        <f t="shared" ca="1" si="24"/>
        <v>962132.20999999973</v>
      </c>
      <c r="W33" s="4">
        <f t="shared" ca="1" si="92"/>
        <v>4147986.8899999997</v>
      </c>
      <c r="X33" s="4">
        <f ca="1">SUMIF(норм2016!$Q$11:$AR$76,$C33,норм2016!$AZ$11:$AZ$76)</f>
        <v>1728657.5</v>
      </c>
      <c r="Y33" s="4">
        <f t="shared" ca="1" si="49"/>
        <v>1328000</v>
      </c>
      <c r="Z33" s="4">
        <f t="shared" ca="1" si="50"/>
        <v>400657.5</v>
      </c>
      <c r="AA33" s="4">
        <f t="shared" ca="1" si="26"/>
        <v>1728657.5</v>
      </c>
      <c r="AB33" s="211">
        <f t="shared" ca="1" si="51"/>
        <v>1857854.68</v>
      </c>
      <c r="AC33" s="4">
        <f t="shared" ca="1" si="52"/>
        <v>561474.70999999973</v>
      </c>
      <c r="AD33" s="4">
        <f t="shared" ca="1" si="93"/>
        <v>2419329.3899999997</v>
      </c>
      <c r="AE33" s="4">
        <f ca="1">SUMIF(норм2016!$Q$11:$AR$76,$C33,норм2016!$BC$11:$BC$76)</f>
        <v>2076589.76</v>
      </c>
      <c r="AF33" s="4">
        <f ca="1">SUMIF(норм2016!$Q$11:$AR$76,$C33,норм2016!$BM$11:$BM$76)</f>
        <v>1035337.11</v>
      </c>
      <c r="AG33" s="4">
        <v>176000</v>
      </c>
      <c r="AH33" s="211">
        <v>760757.32</v>
      </c>
      <c r="AI33" s="4">
        <f>SUMIF(газ!$G$71:$G$147,C33,газ!$J$71:$J$147)*1000</f>
        <v>0</v>
      </c>
      <c r="AJ33" s="4">
        <v>0</v>
      </c>
      <c r="AK33" s="4">
        <v>0</v>
      </c>
      <c r="AL33" s="4">
        <v>0</v>
      </c>
      <c r="AM33" s="4">
        <v>0</v>
      </c>
      <c r="AN33" s="4">
        <v>19000</v>
      </c>
      <c r="AO33" s="4">
        <v>0</v>
      </c>
      <c r="AP33" s="4">
        <v>0</v>
      </c>
      <c r="AQ33" s="4">
        <f t="shared" si="53"/>
        <v>955757.32</v>
      </c>
      <c r="AR33" s="211">
        <f t="shared" ca="1" si="54"/>
        <v>79579.789999999994</v>
      </c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211">
        <f t="shared" si="56"/>
        <v>0</v>
      </c>
      <c r="BD33" s="4">
        <f t="shared" ca="1" si="57"/>
        <v>79579.789999999994</v>
      </c>
      <c r="BE33" s="4">
        <f t="shared" si="58"/>
        <v>176000</v>
      </c>
      <c r="BF33" s="4">
        <f t="shared" si="59"/>
        <v>760757.32</v>
      </c>
      <c r="BG33" s="4">
        <f t="shared" si="60"/>
        <v>0</v>
      </c>
      <c r="BH33" s="4">
        <f t="shared" si="61"/>
        <v>0</v>
      </c>
      <c r="BI33" s="4">
        <f t="shared" si="62"/>
        <v>0</v>
      </c>
      <c r="BJ33" s="4">
        <f t="shared" si="63"/>
        <v>0</v>
      </c>
      <c r="BK33" s="4">
        <f t="shared" si="64"/>
        <v>0</v>
      </c>
      <c r="BL33" s="4">
        <f t="shared" si="65"/>
        <v>19000</v>
      </c>
      <c r="BM33" s="4">
        <f t="shared" si="66"/>
        <v>0</v>
      </c>
      <c r="BN33" s="4">
        <f t="shared" si="67"/>
        <v>0</v>
      </c>
      <c r="BO33" s="4">
        <f t="shared" si="68"/>
        <v>955757.32</v>
      </c>
      <c r="BP33" s="4">
        <v>0</v>
      </c>
      <c r="BQ33" s="211"/>
      <c r="BR33" s="4">
        <f t="shared" ca="1" si="94"/>
        <v>159200</v>
      </c>
      <c r="BS33" s="4">
        <f t="shared" ca="1" si="95"/>
        <v>48053.299999999988</v>
      </c>
      <c r="BT33" s="4">
        <f ca="1">SUMIF(норм2016!$Q$11:$AR$76,$C33,норм2016!$BE$11:$BE$76)</f>
        <v>207253.3</v>
      </c>
      <c r="BU33" s="4">
        <f ca="1">SUMIF(норм2016!$Q$11:$AR$76,$C33,норм2016!$BF$11:$BF$76)</f>
        <v>30606.03</v>
      </c>
      <c r="BV33" s="4">
        <f t="shared" ca="1" si="31"/>
        <v>237859.33</v>
      </c>
      <c r="BW33" s="4">
        <f t="shared" ca="1" si="69"/>
        <v>882973.11</v>
      </c>
      <c r="BX33" s="211">
        <v>8613.6</v>
      </c>
      <c r="BY33" s="211"/>
      <c r="BZ33" s="211">
        <v>30231.599999999999</v>
      </c>
      <c r="CA33" s="211">
        <v>17337.599999999999</v>
      </c>
      <c r="CB33" s="211">
        <v>18419</v>
      </c>
      <c r="CC33" s="211"/>
      <c r="CD33" s="211">
        <v>2835</v>
      </c>
      <c r="CE33" s="211">
        <v>4500</v>
      </c>
      <c r="CF33" s="4">
        <f t="shared" si="70"/>
        <v>81936.799999999988</v>
      </c>
      <c r="CG33" s="211">
        <v>124185.89000000001</v>
      </c>
      <c r="CH33" s="4">
        <f t="shared" ca="1" si="91"/>
        <v>801036.31</v>
      </c>
      <c r="CI33" s="211">
        <f t="shared" ca="1" si="71"/>
        <v>519900</v>
      </c>
      <c r="CJ33" s="4">
        <f t="shared" ca="1" si="72"/>
        <v>156950.42000000004</v>
      </c>
      <c r="CK33" s="211">
        <f ca="1">ROUND(SUMIF(норм2016!$Q$11:$AR$76,$C33,норм2016!$BG$11:$BG$76),2)</f>
        <v>676850.42</v>
      </c>
      <c r="CL33" s="211">
        <f t="shared" ca="1" si="73"/>
        <v>0</v>
      </c>
      <c r="CM33" s="4">
        <f t="shared" ca="1" si="35"/>
        <v>1337954.68</v>
      </c>
      <c r="CN33" s="4">
        <f t="shared" ca="1" si="36"/>
        <v>404524.28999999969</v>
      </c>
      <c r="CO33" s="4">
        <f t="shared" ca="1" si="37"/>
        <v>1742478.9699999997</v>
      </c>
      <c r="CP33" s="4">
        <f t="shared" ca="1" si="38"/>
        <v>7273054.6799999997</v>
      </c>
      <c r="CQ33" s="4">
        <f t="shared" ca="1" si="39"/>
        <v>2196462.5099999993</v>
      </c>
      <c r="CR33" s="4">
        <f t="shared" ca="1" si="74"/>
        <v>9469517.1899999995</v>
      </c>
      <c r="CS33" s="4">
        <f t="shared" ca="1" si="75"/>
        <v>5114277</v>
      </c>
      <c r="CT33" s="4">
        <f t="shared" ca="1" si="40"/>
        <v>1728657.5</v>
      </c>
      <c r="CU33" s="4">
        <f t="shared" si="41"/>
        <v>0</v>
      </c>
      <c r="CV33" s="4">
        <f t="shared" ca="1" si="76"/>
        <v>2076589.76</v>
      </c>
      <c r="CW33" s="93">
        <f t="shared" ca="1" si="77"/>
        <v>8919524.2599999998</v>
      </c>
      <c r="CX33" s="4">
        <f t="shared" ca="1" si="42"/>
        <v>0</v>
      </c>
      <c r="CY33" s="4">
        <f t="shared" ca="1" si="43"/>
        <v>0</v>
      </c>
      <c r="CZ33" s="4">
        <f t="shared" ca="1" si="78"/>
        <v>0</v>
      </c>
      <c r="DA33" s="216">
        <f t="shared" ca="1" si="44"/>
        <v>8919524.2599999998</v>
      </c>
      <c r="DB33" s="4">
        <f t="shared" ca="1" si="45"/>
        <v>0</v>
      </c>
      <c r="DC33" s="211">
        <f t="shared" ca="1" si="46"/>
        <v>10662003.23</v>
      </c>
      <c r="DE33" s="4"/>
      <c r="DF33" s="4"/>
      <c r="DG33" s="4"/>
      <c r="DH33" s="4"/>
      <c r="DI33" s="4"/>
      <c r="DJ33" s="4"/>
      <c r="DK33" s="4">
        <f t="shared" si="79"/>
        <v>0</v>
      </c>
      <c r="DL33" s="4">
        <v>0</v>
      </c>
      <c r="DM33" s="4">
        <f t="shared" si="80"/>
        <v>0</v>
      </c>
      <c r="DN33" s="211">
        <f t="shared" si="81"/>
        <v>0</v>
      </c>
      <c r="DO33" s="218">
        <f t="shared" si="82"/>
        <v>0</v>
      </c>
      <c r="DP33" s="219">
        <f t="shared" ca="1" si="83"/>
        <v>10662003.23</v>
      </c>
      <c r="DQ33" s="8" t="s">
        <v>116</v>
      </c>
      <c r="EA33" s="1" t="s">
        <v>363</v>
      </c>
      <c r="EB33" s="10">
        <v>760757.32</v>
      </c>
      <c r="EC33" s="223">
        <v>0</v>
      </c>
    </row>
    <row r="34" spans="1:133">
      <c r="A34" s="12">
        <v>25</v>
      </c>
      <c r="B34" s="3" t="s">
        <v>72</v>
      </c>
      <c r="C34" s="12" t="s">
        <v>232</v>
      </c>
      <c r="D34" s="102"/>
      <c r="E34" s="102"/>
      <c r="F34" s="102"/>
      <c r="G34" s="4">
        <v>1456509.8100000005</v>
      </c>
      <c r="H34" s="211">
        <v>1471754.4900000005</v>
      </c>
      <c r="I34" s="4">
        <f t="shared" si="47"/>
        <v>17661053.880000006</v>
      </c>
      <c r="J34" s="4">
        <f t="shared" si="19"/>
        <v>5333638.2699999996</v>
      </c>
      <c r="K34" s="4">
        <f t="shared" si="20"/>
        <v>22994692.150000006</v>
      </c>
      <c r="L34" s="4">
        <f ca="1">SUMIF(норм2016!$Q$11:$AR$76,C34,норм2016!$AX$11:$AX$76)</f>
        <v>15875761.199999999</v>
      </c>
      <c r="M34" s="4">
        <f ca="1">SUMIF(норм2016!$Q$11:$AR$76,$C34,норм2016!$AY$11:$AY$76)</f>
        <v>15875761.199999999</v>
      </c>
      <c r="N34" s="4">
        <f t="shared" ca="1" si="21"/>
        <v>12193000</v>
      </c>
      <c r="O34" s="4">
        <f t="shared" ca="1" si="22"/>
        <v>3682761.1999999993</v>
      </c>
      <c r="P34" s="4">
        <f t="shared" ca="1" si="48"/>
        <v>15875761.199999999</v>
      </c>
      <c r="Q34" s="2"/>
      <c r="R34" s="2"/>
      <c r="S34" s="2"/>
      <c r="T34" s="2"/>
      <c r="U34" s="4">
        <f t="shared" ca="1" si="23"/>
        <v>5048653.8800000064</v>
      </c>
      <c r="V34" s="4">
        <f t="shared" ca="1" si="24"/>
        <v>1524210.1500000004</v>
      </c>
      <c r="W34" s="4">
        <f t="shared" ca="1" si="92"/>
        <v>6572864.0300000068</v>
      </c>
      <c r="X34" s="4">
        <f ca="1">SUMIF(норм2016!$Q$11:$AR$76,$C34,норм2016!$AZ$11:$AZ$76)</f>
        <v>0</v>
      </c>
      <c r="Y34" s="4">
        <f t="shared" ca="1" si="49"/>
        <v>0</v>
      </c>
      <c r="Z34" s="4">
        <f t="shared" ca="1" si="50"/>
        <v>0</v>
      </c>
      <c r="AA34" s="4">
        <f t="shared" ca="1" si="26"/>
        <v>0</v>
      </c>
      <c r="AB34" s="211">
        <f t="shared" ca="1" si="51"/>
        <v>5048653.88</v>
      </c>
      <c r="AC34" s="4">
        <f t="shared" ca="1" si="52"/>
        <v>1524210.1500000004</v>
      </c>
      <c r="AD34" s="4">
        <f t="shared" ca="1" si="93"/>
        <v>6572864.0300000003</v>
      </c>
      <c r="AE34" s="4">
        <f ca="1">SUMIF(норм2016!$Q$11:$AR$76,$C34,норм2016!$BC$11:$BC$76)</f>
        <v>4391002.33</v>
      </c>
      <c r="AF34" s="4">
        <f ca="1">SUMIF(норм2016!$Q$11:$AR$76,$C34,норм2016!$BM$11:$BM$76)</f>
        <v>2465851.54</v>
      </c>
      <c r="AG34" s="4">
        <v>572000</v>
      </c>
      <c r="AH34" s="211">
        <v>2092289.12</v>
      </c>
      <c r="AI34" s="4">
        <f>SUMIF(газ!$G$71:$G$147,C34,газ!$J$71:$J$147)*1000</f>
        <v>0</v>
      </c>
      <c r="AJ34" s="4">
        <v>60792</v>
      </c>
      <c r="AK34" s="4">
        <v>38400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f t="shared" si="53"/>
        <v>2763481.12</v>
      </c>
      <c r="AR34" s="211">
        <f t="shared" ca="1" si="54"/>
        <v>-297629.58</v>
      </c>
      <c r="AS34" s="4"/>
      <c r="AT34" s="4">
        <f t="shared" ca="1" si="89"/>
        <v>297629.58</v>
      </c>
      <c r="AU34" s="4"/>
      <c r="AV34" s="4"/>
      <c r="AW34" s="4"/>
      <c r="AX34" s="4"/>
      <c r="AY34" s="4"/>
      <c r="AZ34" s="4"/>
      <c r="BA34" s="4"/>
      <c r="BB34" s="4"/>
      <c r="BC34" s="211">
        <f t="shared" ca="1" si="56"/>
        <v>297629.58</v>
      </c>
      <c r="BD34" s="4">
        <f t="shared" ca="1" si="57"/>
        <v>0</v>
      </c>
      <c r="BE34" s="4">
        <f t="shared" si="58"/>
        <v>572000</v>
      </c>
      <c r="BF34" s="4">
        <f t="shared" ca="1" si="59"/>
        <v>1794659.54</v>
      </c>
      <c r="BG34" s="4">
        <f t="shared" si="60"/>
        <v>0</v>
      </c>
      <c r="BH34" s="4">
        <f t="shared" si="61"/>
        <v>60792</v>
      </c>
      <c r="BI34" s="4">
        <f t="shared" si="62"/>
        <v>38400</v>
      </c>
      <c r="BJ34" s="4">
        <f t="shared" si="63"/>
        <v>0</v>
      </c>
      <c r="BK34" s="4">
        <f t="shared" si="64"/>
        <v>0</v>
      </c>
      <c r="BL34" s="4">
        <f t="shared" si="65"/>
        <v>0</v>
      </c>
      <c r="BM34" s="4">
        <f t="shared" si="66"/>
        <v>0</v>
      </c>
      <c r="BN34" s="4">
        <f t="shared" si="67"/>
        <v>0</v>
      </c>
      <c r="BO34" s="4">
        <f t="shared" ca="1" si="68"/>
        <v>2465851.54</v>
      </c>
      <c r="BP34" s="4">
        <v>0</v>
      </c>
      <c r="BQ34" s="211"/>
      <c r="BR34" s="4">
        <f t="shared" ca="1" si="94"/>
        <v>419400</v>
      </c>
      <c r="BS34" s="4">
        <f t="shared" ca="1" si="95"/>
        <v>126666.92000000004</v>
      </c>
      <c r="BT34" s="4">
        <f ca="1">SUMIF(норм2016!$Q$11:$AR$76,$C34,норм2016!$BE$11:$BE$76)</f>
        <v>546066.92000000004</v>
      </c>
      <c r="BU34" s="4">
        <f ca="1">SUMIF(норм2016!$Q$11:$AR$76,$C34,норм2016!$BF$11:$BF$76)</f>
        <v>88286.63</v>
      </c>
      <c r="BV34" s="4">
        <f t="shared" ca="1" si="31"/>
        <v>634353.55000000005</v>
      </c>
      <c r="BW34" s="4">
        <f t="shared" ca="1" si="69"/>
        <v>1290797.24</v>
      </c>
      <c r="BX34" s="211">
        <v>22235.52</v>
      </c>
      <c r="BY34" s="211">
        <v>44880</v>
      </c>
      <c r="BZ34" s="211">
        <v>20260.080000000002</v>
      </c>
      <c r="CA34" s="211">
        <v>3360</v>
      </c>
      <c r="CB34" s="211">
        <v>19003</v>
      </c>
      <c r="CC34" s="211">
        <v>5074.68</v>
      </c>
      <c r="CD34" s="211">
        <v>10395</v>
      </c>
      <c r="CE34" s="211">
        <v>9600</v>
      </c>
      <c r="CF34" s="4">
        <f t="shared" si="70"/>
        <v>134808.28</v>
      </c>
      <c r="CG34" s="211">
        <v>175423.59999999998</v>
      </c>
      <c r="CH34" s="4">
        <f t="shared" ca="1" si="91"/>
        <v>1155988.96</v>
      </c>
      <c r="CI34" s="211">
        <f t="shared" ca="1" si="71"/>
        <v>753100</v>
      </c>
      <c r="CJ34" s="4">
        <f t="shared" ca="1" si="72"/>
        <v>227465.36</v>
      </c>
      <c r="CK34" s="211">
        <f ca="1">ROUND(SUMIF(норм2016!$Q$11:$AR$76,$C34,норм2016!$BG$11:$BG$76),2)</f>
        <v>980565.36</v>
      </c>
      <c r="CL34" s="211">
        <f t="shared" ca="1" si="73"/>
        <v>0</v>
      </c>
      <c r="CM34" s="4">
        <f t="shared" ca="1" si="35"/>
        <v>4295553.88</v>
      </c>
      <c r="CN34" s="4">
        <f t="shared" ca="1" si="36"/>
        <v>1296744.7900000005</v>
      </c>
      <c r="CO34" s="4">
        <f t="shared" ca="1" si="37"/>
        <v>5592298.6699999999</v>
      </c>
      <c r="CP34" s="4">
        <f t="shared" ca="1" si="38"/>
        <v>17661053.879999999</v>
      </c>
      <c r="CQ34" s="4">
        <f t="shared" ca="1" si="39"/>
        <v>5333638.2699999996</v>
      </c>
      <c r="CR34" s="4">
        <f t="shared" ca="1" si="74"/>
        <v>22994692.149999999</v>
      </c>
      <c r="CS34" s="4">
        <f t="shared" ca="1" si="75"/>
        <v>15875761.199999999</v>
      </c>
      <c r="CT34" s="4">
        <f t="shared" ca="1" si="40"/>
        <v>0</v>
      </c>
      <c r="CU34" s="4">
        <f t="shared" si="41"/>
        <v>0</v>
      </c>
      <c r="CV34" s="4">
        <f t="shared" ca="1" si="76"/>
        <v>4391002.33</v>
      </c>
      <c r="CW34" s="93">
        <f t="shared" ca="1" si="77"/>
        <v>20266763.530000001</v>
      </c>
      <c r="CX34" s="4">
        <f t="shared" ca="1" si="42"/>
        <v>0</v>
      </c>
      <c r="CY34" s="4">
        <f t="shared" ca="1" si="43"/>
        <v>0</v>
      </c>
      <c r="CZ34" s="4">
        <f t="shared" ca="1" si="78"/>
        <v>0</v>
      </c>
      <c r="DA34" s="216">
        <f t="shared" ca="1" si="44"/>
        <v>20266763.530000001</v>
      </c>
      <c r="DB34" s="4">
        <f t="shared" ca="1" si="45"/>
        <v>0</v>
      </c>
      <c r="DC34" s="211">
        <f t="shared" ca="1" si="46"/>
        <v>25859062.200000003</v>
      </c>
      <c r="DE34" s="4"/>
      <c r="DF34" s="4"/>
      <c r="DG34" s="4"/>
      <c r="DH34" s="4"/>
      <c r="DI34" s="4"/>
      <c r="DJ34" s="4"/>
      <c r="DK34" s="4">
        <f t="shared" ca="1" si="79"/>
        <v>297629.58</v>
      </c>
      <c r="DL34" s="4">
        <v>0</v>
      </c>
      <c r="DM34" s="4">
        <f t="shared" si="80"/>
        <v>0</v>
      </c>
      <c r="DN34" s="211">
        <f t="shared" si="81"/>
        <v>0</v>
      </c>
      <c r="DO34" s="218">
        <f t="shared" ca="1" si="82"/>
        <v>297629.58</v>
      </c>
      <c r="DP34" s="219">
        <f t="shared" ca="1" si="83"/>
        <v>26156691.780000001</v>
      </c>
      <c r="DQ34" s="8" t="s">
        <v>124</v>
      </c>
      <c r="EA34" s="1" t="s">
        <v>363</v>
      </c>
      <c r="EB34" s="10">
        <v>2092289.12</v>
      </c>
      <c r="EC34" s="223">
        <v>0</v>
      </c>
    </row>
    <row r="35" spans="1:133">
      <c r="A35" s="12">
        <v>26</v>
      </c>
      <c r="B35" s="3" t="s">
        <v>69</v>
      </c>
      <c r="C35" s="12" t="s">
        <v>235</v>
      </c>
      <c r="D35" s="102"/>
      <c r="E35" s="102"/>
      <c r="F35" s="102"/>
      <c r="G35" s="4">
        <v>741671.25999999966</v>
      </c>
      <c r="H35" s="211">
        <v>749048.3899999999</v>
      </c>
      <c r="I35" s="4">
        <f t="shared" si="47"/>
        <v>8988580.6799999997</v>
      </c>
      <c r="J35" s="4">
        <f t="shared" si="19"/>
        <v>2714551.37</v>
      </c>
      <c r="K35" s="4">
        <f t="shared" si="20"/>
        <v>11703132.050000001</v>
      </c>
      <c r="L35" s="4">
        <f ca="1">SUMIF(норм2016!$Q$11:$AR$76,C35,норм2016!$AX$11:$AX$76)</f>
        <v>8788944</v>
      </c>
      <c r="M35" s="4">
        <f ca="1">SUMIF(норм2016!$Q$11:$AR$76,$C35,норм2016!$AY$11:$AY$76)</f>
        <v>7177086</v>
      </c>
      <c r="N35" s="4">
        <f t="shared" ca="1" si="21"/>
        <v>5512000</v>
      </c>
      <c r="O35" s="4">
        <f t="shared" ca="1" si="22"/>
        <v>1665086</v>
      </c>
      <c r="P35" s="4">
        <f t="shared" ca="1" si="48"/>
        <v>7177086</v>
      </c>
      <c r="Q35" s="2"/>
      <c r="R35" s="2"/>
      <c r="S35" s="2"/>
      <c r="T35" s="2"/>
      <c r="U35" s="4">
        <f t="shared" ca="1" si="23"/>
        <v>3205980.6799999997</v>
      </c>
      <c r="V35" s="4">
        <f t="shared" ca="1" si="24"/>
        <v>967790.10000000009</v>
      </c>
      <c r="W35" s="4">
        <f t="shared" ca="1" si="92"/>
        <v>4173770.78</v>
      </c>
      <c r="X35" s="4">
        <f ca="1">SUMIF(норм2016!$Q$11:$AR$76,$C35,норм2016!$AZ$11:$AZ$76)</f>
        <v>1611858</v>
      </c>
      <c r="Y35" s="4">
        <f t="shared" ca="1" si="49"/>
        <v>1238000</v>
      </c>
      <c r="Z35" s="4">
        <f t="shared" ca="1" si="50"/>
        <v>373858</v>
      </c>
      <c r="AA35" s="4">
        <f t="shared" ca="1" si="26"/>
        <v>1611858</v>
      </c>
      <c r="AB35" s="211">
        <f t="shared" ca="1" si="51"/>
        <v>1967980.68</v>
      </c>
      <c r="AC35" s="4">
        <f t="shared" ca="1" si="52"/>
        <v>593932.10000000009</v>
      </c>
      <c r="AD35" s="4">
        <f t="shared" ca="1" si="93"/>
        <v>2561912.7800000003</v>
      </c>
      <c r="AE35" s="4">
        <f ca="1">SUMIF(норм2016!$Q$11:$AR$76,$C35,норм2016!$BC$11:$BC$76)</f>
        <v>2981011.94</v>
      </c>
      <c r="AF35" s="4">
        <f ca="1">SUMIF(норм2016!$Q$11:$AR$76,$C35,норм2016!$BM$11:$BM$76)</f>
        <v>1453661.7</v>
      </c>
      <c r="AG35" s="4">
        <v>203500</v>
      </c>
      <c r="AH35" s="211">
        <v>1146401.78</v>
      </c>
      <c r="AI35" s="4">
        <f>SUMIF(газ!$G$71:$G$147,C35,газ!$J$71:$J$147)*1000</f>
        <v>104232.48000000001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f t="shared" si="53"/>
        <v>1454134.26</v>
      </c>
      <c r="AR35" s="211">
        <f t="shared" ca="1" si="54"/>
        <v>-472.56</v>
      </c>
      <c r="AS35" s="4"/>
      <c r="AT35" s="4">
        <f t="shared" ca="1" si="89"/>
        <v>472.56</v>
      </c>
      <c r="AU35" s="4"/>
      <c r="AV35" s="4"/>
      <c r="AW35" s="4"/>
      <c r="AX35" s="4"/>
      <c r="AY35" s="4"/>
      <c r="AZ35" s="4"/>
      <c r="BA35" s="4"/>
      <c r="BB35" s="4"/>
      <c r="BC35" s="211">
        <f t="shared" ca="1" si="56"/>
        <v>472.56</v>
      </c>
      <c r="BD35" s="4">
        <f t="shared" ca="1" si="57"/>
        <v>0</v>
      </c>
      <c r="BE35" s="4">
        <f t="shared" si="58"/>
        <v>203500</v>
      </c>
      <c r="BF35" s="4">
        <f t="shared" ca="1" si="59"/>
        <v>1145929.22</v>
      </c>
      <c r="BG35" s="4">
        <f t="shared" si="60"/>
        <v>104232.48000000001</v>
      </c>
      <c r="BH35" s="4">
        <f t="shared" si="61"/>
        <v>0</v>
      </c>
      <c r="BI35" s="4">
        <f t="shared" si="62"/>
        <v>0</v>
      </c>
      <c r="BJ35" s="4">
        <f t="shared" si="63"/>
        <v>0</v>
      </c>
      <c r="BK35" s="4">
        <f t="shared" si="64"/>
        <v>0</v>
      </c>
      <c r="BL35" s="4">
        <f t="shared" si="65"/>
        <v>0</v>
      </c>
      <c r="BM35" s="4">
        <f t="shared" si="66"/>
        <v>0</v>
      </c>
      <c r="BN35" s="4">
        <f t="shared" si="67"/>
        <v>0</v>
      </c>
      <c r="BO35" s="4">
        <f t="shared" ca="1" si="68"/>
        <v>1453661.7</v>
      </c>
      <c r="BP35" s="115">
        <f>29000-29000</f>
        <v>0</v>
      </c>
      <c r="BQ35" s="115"/>
      <c r="BR35" s="4">
        <f t="shared" ca="1" si="94"/>
        <v>270600</v>
      </c>
      <c r="BS35" s="4">
        <f t="shared" ca="1" si="95"/>
        <v>81675.270000000019</v>
      </c>
      <c r="BT35" s="4">
        <f ca="1">SUMIF(норм2016!$Q$11:$AR$76,$C35,норм2016!$BE$11:$BE$76)</f>
        <v>352275.27</v>
      </c>
      <c r="BU35" s="4">
        <f ca="1">SUMIF(норм2016!$Q$11:$AR$76,$C35,норм2016!$BF$11:$BF$76)</f>
        <v>29428.880000000001</v>
      </c>
      <c r="BV35" s="4">
        <f t="shared" ca="1" si="31"/>
        <v>381704.15</v>
      </c>
      <c r="BW35" s="4">
        <f t="shared" ca="1" si="69"/>
        <v>1145646.0899999999</v>
      </c>
      <c r="BX35" s="211">
        <v>12784.24</v>
      </c>
      <c r="BY35" s="211"/>
      <c r="BZ35" s="211">
        <v>49206</v>
      </c>
      <c r="CA35" s="211">
        <v>5880</v>
      </c>
      <c r="CB35" s="211">
        <v>22146</v>
      </c>
      <c r="CC35" s="211"/>
      <c r="CD35" s="211">
        <v>26587.5</v>
      </c>
      <c r="CE35" s="211"/>
      <c r="CF35" s="4">
        <f t="shared" si="70"/>
        <v>116603.73999999999</v>
      </c>
      <c r="CG35" s="211">
        <v>65832.129999999888</v>
      </c>
      <c r="CH35" s="4">
        <f t="shared" ca="1" si="91"/>
        <v>1029042.3499999999</v>
      </c>
      <c r="CI35" s="211">
        <f t="shared" ca="1" si="71"/>
        <v>739800</v>
      </c>
      <c r="CJ35" s="4">
        <f t="shared" ca="1" si="72"/>
        <v>223410.21999999997</v>
      </c>
      <c r="CK35" s="211">
        <f ca="1">ROUND(SUMIF(норм2016!$Q$11:$AR$76,$C35,норм2016!$BG$11:$BG$76),2)</f>
        <v>963210.22</v>
      </c>
      <c r="CL35" s="211">
        <f t="shared" ca="1" si="73"/>
        <v>0</v>
      </c>
      <c r="CM35" s="4">
        <f t="shared" ca="1" si="35"/>
        <v>1228180.68</v>
      </c>
      <c r="CN35" s="4">
        <f t="shared" ca="1" si="36"/>
        <v>370521.88000000012</v>
      </c>
      <c r="CO35" s="4">
        <f t="shared" ca="1" si="37"/>
        <v>1598702.56</v>
      </c>
      <c r="CP35" s="4">
        <f t="shared" ca="1" si="38"/>
        <v>8988580.6799999997</v>
      </c>
      <c r="CQ35" s="4">
        <f t="shared" ca="1" si="39"/>
        <v>2714551.3699999996</v>
      </c>
      <c r="CR35" s="4">
        <f t="shared" ca="1" si="74"/>
        <v>11703132.049999999</v>
      </c>
      <c r="CS35" s="4">
        <f t="shared" ca="1" si="75"/>
        <v>7177086</v>
      </c>
      <c r="CT35" s="4">
        <f t="shared" ca="1" si="40"/>
        <v>1611858</v>
      </c>
      <c r="CU35" s="4">
        <f t="shared" si="41"/>
        <v>0</v>
      </c>
      <c r="CV35" s="4">
        <f t="shared" ca="1" si="76"/>
        <v>2981011.9400000004</v>
      </c>
      <c r="CW35" s="93">
        <f t="shared" ca="1" si="77"/>
        <v>11769955.940000001</v>
      </c>
      <c r="CX35" s="4">
        <f t="shared" ca="1" si="42"/>
        <v>0</v>
      </c>
      <c r="CY35" s="4">
        <f t="shared" ca="1" si="43"/>
        <v>0</v>
      </c>
      <c r="CZ35" s="4">
        <f t="shared" ca="1" si="78"/>
        <v>0</v>
      </c>
      <c r="DA35" s="216">
        <f t="shared" ca="1" si="44"/>
        <v>11769955.939999999</v>
      </c>
      <c r="DB35" s="4">
        <f t="shared" ca="1" si="45"/>
        <v>0</v>
      </c>
      <c r="DC35" s="211">
        <f t="shared" ca="1" si="46"/>
        <v>13368658.500000002</v>
      </c>
      <c r="DE35" s="4"/>
      <c r="DF35" s="4"/>
      <c r="DG35" s="4"/>
      <c r="DH35" s="4"/>
      <c r="DI35" s="4"/>
      <c r="DJ35" s="4"/>
      <c r="DK35" s="4">
        <f t="shared" ca="1" si="79"/>
        <v>472.56</v>
      </c>
      <c r="DL35" s="4">
        <v>0</v>
      </c>
      <c r="DM35" s="4">
        <f t="shared" si="80"/>
        <v>0</v>
      </c>
      <c r="DN35" s="211">
        <f t="shared" si="81"/>
        <v>0</v>
      </c>
      <c r="DO35" s="218">
        <f t="shared" ca="1" si="82"/>
        <v>472.56</v>
      </c>
      <c r="DP35" s="219">
        <f t="shared" ca="1" si="83"/>
        <v>13369131.060000002</v>
      </c>
      <c r="DQ35" s="8" t="s">
        <v>117</v>
      </c>
      <c r="EA35" s="1" t="s">
        <v>363</v>
      </c>
      <c r="EB35" s="10">
        <v>1146401.78</v>
      </c>
      <c r="EC35" s="223">
        <v>0</v>
      </c>
    </row>
    <row r="36" spans="1:133">
      <c r="A36" s="12">
        <v>27</v>
      </c>
      <c r="B36" s="3" t="s">
        <v>70</v>
      </c>
      <c r="C36" s="12" t="s">
        <v>236</v>
      </c>
      <c r="D36" s="102"/>
      <c r="E36" s="102"/>
      <c r="F36" s="102"/>
      <c r="G36" s="4">
        <v>699178.68</v>
      </c>
      <c r="H36" s="211">
        <v>705814.10000000009</v>
      </c>
      <c r="I36" s="4">
        <f t="shared" si="47"/>
        <v>8469769.2000000011</v>
      </c>
      <c r="J36" s="4">
        <f t="shared" si="19"/>
        <v>2557870.2999999998</v>
      </c>
      <c r="K36" s="4">
        <f t="shared" si="20"/>
        <v>11027639.5</v>
      </c>
      <c r="L36" s="4">
        <f ca="1">SUMIF(норм2016!$Q$11:$AR$76,C36,норм2016!$AX$11:$AX$76)</f>
        <v>8060579</v>
      </c>
      <c r="M36" s="4">
        <f ca="1">SUMIF(норм2016!$Q$11:$AR$76,$C36,норм2016!$AY$11:$AY$76)</f>
        <v>6830996</v>
      </c>
      <c r="N36" s="4">
        <f t="shared" ca="1" si="21"/>
        <v>5247000</v>
      </c>
      <c r="O36" s="4">
        <f t="shared" ca="1" si="22"/>
        <v>1583996</v>
      </c>
      <c r="P36" s="4">
        <f t="shared" ca="1" si="48"/>
        <v>6830996</v>
      </c>
      <c r="Q36" s="2"/>
      <c r="R36" s="2"/>
      <c r="S36" s="2"/>
      <c r="T36" s="2"/>
      <c r="U36" s="4">
        <f t="shared" ca="1" si="23"/>
        <v>2985269.2000000011</v>
      </c>
      <c r="V36" s="4">
        <f t="shared" ca="1" si="24"/>
        <v>902130.6599999998</v>
      </c>
      <c r="W36" s="4">
        <f t="shared" ca="1" si="92"/>
        <v>3887399.8600000008</v>
      </c>
      <c r="X36" s="4">
        <f ca="1">SUMIF(норм2016!$Q$11:$AR$76,$C36,норм2016!$AZ$11:$AZ$76)</f>
        <v>1229583</v>
      </c>
      <c r="Y36" s="4">
        <f t="shared" ca="1" si="49"/>
        <v>944000</v>
      </c>
      <c r="Z36" s="4">
        <f t="shared" ca="1" si="50"/>
        <v>285583</v>
      </c>
      <c r="AA36" s="4">
        <f t="shared" ca="1" si="26"/>
        <v>1229583</v>
      </c>
      <c r="AB36" s="211">
        <f t="shared" ca="1" si="51"/>
        <v>2041269.2</v>
      </c>
      <c r="AC36" s="4">
        <f t="shared" ca="1" si="52"/>
        <v>616547.6599999998</v>
      </c>
      <c r="AD36" s="4">
        <f t="shared" ca="1" si="93"/>
        <v>2657816.86</v>
      </c>
      <c r="AE36" s="4">
        <f ca="1">SUMIF(норм2016!$Q$11:$AR$76,$C36,норм2016!$BC$11:$BC$76)</f>
        <v>2191352.86</v>
      </c>
      <c r="AF36" s="4">
        <f ca="1">SUMIF(норм2016!$Q$11:$AR$76,$C36,норм2016!$BM$11:$BM$76)</f>
        <v>914518.86</v>
      </c>
      <c r="AG36" s="4">
        <v>159500</v>
      </c>
      <c r="AH36" s="211">
        <v>625952.74</v>
      </c>
      <c r="AI36" s="4">
        <f>SUMIF(газ!$G$71:$G$147,C36,газ!$J$71:$J$147)*1000</f>
        <v>75069.83</v>
      </c>
      <c r="AJ36" s="4">
        <v>0</v>
      </c>
      <c r="AK36" s="4">
        <v>0</v>
      </c>
      <c r="AL36" s="4">
        <v>0</v>
      </c>
      <c r="AM36" s="4">
        <v>0</v>
      </c>
      <c r="AN36" s="4">
        <v>41000</v>
      </c>
      <c r="AO36" s="4">
        <v>0</v>
      </c>
      <c r="AP36" s="4">
        <v>0</v>
      </c>
      <c r="AQ36" s="4">
        <f t="shared" si="53"/>
        <v>901522.57</v>
      </c>
      <c r="AR36" s="211">
        <f t="shared" ca="1" si="54"/>
        <v>12996.29</v>
      </c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211">
        <f t="shared" si="56"/>
        <v>0</v>
      </c>
      <c r="BD36" s="4">
        <f t="shared" ca="1" si="57"/>
        <v>12996.29</v>
      </c>
      <c r="BE36" s="4">
        <f t="shared" si="58"/>
        <v>159500</v>
      </c>
      <c r="BF36" s="4">
        <f t="shared" si="59"/>
        <v>625952.74</v>
      </c>
      <c r="BG36" s="4">
        <f t="shared" si="60"/>
        <v>75069.83</v>
      </c>
      <c r="BH36" s="4">
        <f t="shared" si="61"/>
        <v>0</v>
      </c>
      <c r="BI36" s="4">
        <f t="shared" si="62"/>
        <v>0</v>
      </c>
      <c r="BJ36" s="4">
        <f t="shared" si="63"/>
        <v>0</v>
      </c>
      <c r="BK36" s="4">
        <f t="shared" si="64"/>
        <v>0</v>
      </c>
      <c r="BL36" s="4">
        <f t="shared" si="65"/>
        <v>41000</v>
      </c>
      <c r="BM36" s="4">
        <f t="shared" si="66"/>
        <v>0</v>
      </c>
      <c r="BN36" s="4">
        <f t="shared" si="67"/>
        <v>0</v>
      </c>
      <c r="BO36" s="4">
        <f t="shared" si="68"/>
        <v>901522.57</v>
      </c>
      <c r="BP36" s="4">
        <v>0</v>
      </c>
      <c r="BQ36" s="211"/>
      <c r="BR36" s="4">
        <f t="shared" ca="1" si="94"/>
        <v>237500</v>
      </c>
      <c r="BS36" s="4">
        <f t="shared" ca="1" si="95"/>
        <v>71743.640000000014</v>
      </c>
      <c r="BT36" s="4">
        <f ca="1">SUMIF(норм2016!$Q$11:$AR$76,$C36,норм2016!$BE$11:$BE$76)</f>
        <v>309243.64</v>
      </c>
      <c r="BU36" s="4">
        <f ca="1">SUMIF(норм2016!$Q$11:$AR$76,$C36,норм2016!$BF$11:$BF$76)</f>
        <v>31783.19</v>
      </c>
      <c r="BV36" s="4">
        <f t="shared" ca="1" si="31"/>
        <v>341026.83</v>
      </c>
      <c r="BW36" s="4">
        <f t="shared" ca="1" si="69"/>
        <v>948803.46</v>
      </c>
      <c r="BX36" s="211"/>
      <c r="BY36" s="211"/>
      <c r="BZ36" s="211">
        <v>39364.800000000003</v>
      </c>
      <c r="CA36" s="211">
        <v>4998</v>
      </c>
      <c r="CB36" s="211">
        <v>22146</v>
      </c>
      <c r="CC36" s="211"/>
      <c r="CD36" s="211">
        <v>1043.75</v>
      </c>
      <c r="CE36" s="211">
        <v>12600</v>
      </c>
      <c r="CF36" s="4">
        <f t="shared" si="70"/>
        <v>80152.55</v>
      </c>
      <c r="CG36" s="211">
        <v>61636.949999999953</v>
      </c>
      <c r="CH36" s="4">
        <f t="shared" ca="1" si="91"/>
        <v>868650.90999999992</v>
      </c>
      <c r="CI36" s="211">
        <f t="shared" ca="1" si="71"/>
        <v>619800</v>
      </c>
      <c r="CJ36" s="4">
        <f t="shared" ca="1" si="72"/>
        <v>187213.95999999996</v>
      </c>
      <c r="CK36" s="211">
        <f ca="1">ROUND(SUMIF(норм2016!$Q$11:$AR$76,$C36,норм2016!$BG$11:$BG$76),2)</f>
        <v>807013.96</v>
      </c>
      <c r="CL36" s="211">
        <f t="shared" ca="1" si="73"/>
        <v>0</v>
      </c>
      <c r="CM36" s="4">
        <f t="shared" ca="1" si="35"/>
        <v>1421469.2</v>
      </c>
      <c r="CN36" s="4">
        <f t="shared" ca="1" si="36"/>
        <v>429333.69999999984</v>
      </c>
      <c r="CO36" s="4">
        <f t="shared" ca="1" si="37"/>
        <v>1850802.9</v>
      </c>
      <c r="CP36" s="4">
        <f t="shared" ca="1" si="38"/>
        <v>8469769.1999999993</v>
      </c>
      <c r="CQ36" s="4">
        <f t="shared" ca="1" si="39"/>
        <v>2557870.2999999998</v>
      </c>
      <c r="CR36" s="4">
        <f t="shared" ca="1" si="74"/>
        <v>11027639.5</v>
      </c>
      <c r="CS36" s="4">
        <f t="shared" ca="1" si="75"/>
        <v>6830996</v>
      </c>
      <c r="CT36" s="4">
        <f t="shared" ca="1" si="40"/>
        <v>1229583</v>
      </c>
      <c r="CU36" s="4">
        <f t="shared" si="41"/>
        <v>0</v>
      </c>
      <c r="CV36" s="4">
        <f t="shared" ca="1" si="76"/>
        <v>2191352.8599999994</v>
      </c>
      <c r="CW36" s="93">
        <f t="shared" ca="1" si="77"/>
        <v>10251931.859999999</v>
      </c>
      <c r="CX36" s="4">
        <f t="shared" ca="1" si="42"/>
        <v>0</v>
      </c>
      <c r="CY36" s="4">
        <f t="shared" ca="1" si="43"/>
        <v>0</v>
      </c>
      <c r="CZ36" s="4">
        <f t="shared" ca="1" si="78"/>
        <v>0</v>
      </c>
      <c r="DA36" s="216">
        <f t="shared" ca="1" si="44"/>
        <v>10251931.859999999</v>
      </c>
      <c r="DB36" s="4">
        <f t="shared" ca="1" si="45"/>
        <v>0</v>
      </c>
      <c r="DC36" s="211">
        <f t="shared" ca="1" si="46"/>
        <v>12102734.76</v>
      </c>
      <c r="DE36" s="4"/>
      <c r="DF36" s="4"/>
      <c r="DG36" s="4"/>
      <c r="DH36" s="4"/>
      <c r="DI36" s="4"/>
      <c r="DJ36" s="4"/>
      <c r="DK36" s="4">
        <f t="shared" si="79"/>
        <v>0</v>
      </c>
      <c r="DL36" s="4">
        <v>0</v>
      </c>
      <c r="DM36" s="4">
        <f t="shared" si="80"/>
        <v>0</v>
      </c>
      <c r="DN36" s="211">
        <f t="shared" si="81"/>
        <v>0</v>
      </c>
      <c r="DO36" s="218">
        <f t="shared" si="82"/>
        <v>0</v>
      </c>
      <c r="DP36" s="219">
        <f t="shared" ca="1" si="83"/>
        <v>12102734.76</v>
      </c>
      <c r="DQ36" s="8" t="s">
        <v>121</v>
      </c>
      <c r="EA36" s="1" t="s">
        <v>363</v>
      </c>
      <c r="EB36" s="10">
        <v>625952.74</v>
      </c>
      <c r="EC36" s="223">
        <v>0</v>
      </c>
    </row>
    <row r="37" spans="1:133">
      <c r="A37" s="12">
        <v>28</v>
      </c>
      <c r="B37" s="3" t="s">
        <v>71</v>
      </c>
      <c r="C37" s="12" t="s">
        <v>237</v>
      </c>
      <c r="D37" s="102"/>
      <c r="E37" s="102"/>
      <c r="F37" s="102"/>
      <c r="G37" s="4">
        <v>625306.7300000001</v>
      </c>
      <c r="H37" s="211">
        <v>622879.59000000032</v>
      </c>
      <c r="I37" s="4">
        <f t="shared" si="47"/>
        <v>7474555.0800000038</v>
      </c>
      <c r="J37" s="4">
        <f t="shared" si="19"/>
        <v>2257315.63</v>
      </c>
      <c r="K37" s="4">
        <f t="shared" si="20"/>
        <v>9731870.7100000046</v>
      </c>
      <c r="L37" s="4">
        <f ca="1">SUMIF(норм2016!$Q$11:$AR$76,C37,норм2016!$AX$11:$AX$76)</f>
        <v>7755173.5</v>
      </c>
      <c r="M37" s="4">
        <f ca="1">SUMIF(норм2016!$Q$11:$AR$76,$C37,норм2016!$AY$11:$AY$76)</f>
        <v>6718843</v>
      </c>
      <c r="N37" s="4">
        <f t="shared" ca="1" si="21"/>
        <v>5160000</v>
      </c>
      <c r="O37" s="4">
        <f t="shared" ca="1" si="22"/>
        <v>1558843</v>
      </c>
      <c r="P37" s="4">
        <f t="shared" ca="1" si="48"/>
        <v>6718843</v>
      </c>
      <c r="Q37" s="2"/>
      <c r="R37" s="2"/>
      <c r="S37" s="2"/>
      <c r="T37" s="2"/>
      <c r="U37" s="4">
        <f t="shared" ca="1" si="23"/>
        <v>2080755.0800000038</v>
      </c>
      <c r="V37" s="4">
        <f t="shared" ca="1" si="24"/>
        <v>627860.71</v>
      </c>
      <c r="W37" s="4">
        <f t="shared" ca="1" si="92"/>
        <v>2708615.7900000038</v>
      </c>
      <c r="X37" s="4">
        <f ca="1">SUMIF(норм2016!$Q$11:$AR$76,$C37,норм2016!$AZ$11:$AZ$76)</f>
        <v>1036330.5</v>
      </c>
      <c r="Y37" s="4">
        <f t="shared" ca="1" si="49"/>
        <v>796000</v>
      </c>
      <c r="Z37" s="4">
        <f t="shared" ca="1" si="50"/>
        <v>240330.5</v>
      </c>
      <c r="AA37" s="4">
        <f t="shared" ca="1" si="26"/>
        <v>1036330.5</v>
      </c>
      <c r="AB37" s="211">
        <f t="shared" ca="1" si="51"/>
        <v>1284755.08</v>
      </c>
      <c r="AC37" s="4">
        <f t="shared" ca="1" si="52"/>
        <v>387530.20999999996</v>
      </c>
      <c r="AD37" s="4">
        <f t="shared" ca="1" si="93"/>
        <v>1672285.29</v>
      </c>
      <c r="AE37" s="4">
        <f ca="1">SUMIF(норм2016!$Q$11:$AR$76,$C37,норм2016!$BC$11:$BC$76)</f>
        <v>2673685.33</v>
      </c>
      <c r="AF37" s="4">
        <f ca="1">SUMIF(норм2016!$Q$11:$AR$76,$C37,норм2016!$BM$11:$BM$76)</f>
        <v>1372672.9</v>
      </c>
      <c r="AG37" s="4">
        <v>198000</v>
      </c>
      <c r="AH37" s="211">
        <v>1104759.1599999999</v>
      </c>
      <c r="AI37" s="4">
        <f>SUMIF(газ!$G$71:$G$147,C37,газ!$J$71:$J$147)*1000</f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f t="shared" si="53"/>
        <v>1302759.1599999999</v>
      </c>
      <c r="AR37" s="211">
        <f t="shared" ca="1" si="54"/>
        <v>69913.740000000005</v>
      </c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211">
        <f t="shared" si="56"/>
        <v>0</v>
      </c>
      <c r="BD37" s="4">
        <f t="shared" ca="1" si="57"/>
        <v>69913.740000000005</v>
      </c>
      <c r="BE37" s="4">
        <f t="shared" si="58"/>
        <v>198000</v>
      </c>
      <c r="BF37" s="4">
        <f t="shared" si="59"/>
        <v>1104759.1599999999</v>
      </c>
      <c r="BG37" s="4">
        <f t="shared" si="60"/>
        <v>0</v>
      </c>
      <c r="BH37" s="4">
        <f t="shared" si="61"/>
        <v>0</v>
      </c>
      <c r="BI37" s="4">
        <f t="shared" si="62"/>
        <v>0</v>
      </c>
      <c r="BJ37" s="4">
        <f t="shared" si="63"/>
        <v>0</v>
      </c>
      <c r="BK37" s="4">
        <f t="shared" si="64"/>
        <v>0</v>
      </c>
      <c r="BL37" s="4">
        <f t="shared" si="65"/>
        <v>0</v>
      </c>
      <c r="BM37" s="4">
        <f t="shared" si="66"/>
        <v>0</v>
      </c>
      <c r="BN37" s="4">
        <f t="shared" si="67"/>
        <v>0</v>
      </c>
      <c r="BO37" s="4">
        <f t="shared" si="68"/>
        <v>1302759.1599999999</v>
      </c>
      <c r="BP37" s="115">
        <v>24600</v>
      </c>
      <c r="BQ37" s="115"/>
      <c r="BR37" s="4">
        <f t="shared" ca="1" si="94"/>
        <v>233800</v>
      </c>
      <c r="BS37" s="4">
        <f t="shared" ca="1" si="95"/>
        <v>70611.919999999984</v>
      </c>
      <c r="BT37" s="4">
        <f ca="1">SUMIF(норм2016!$Q$11:$AR$76,$C37,норм2016!$BE$11:$BE$76)</f>
        <v>304411.92</v>
      </c>
      <c r="BU37" s="4">
        <f ca="1">SUMIF(норм2016!$Q$11:$AR$76,$C37,норм2016!$BF$11:$BF$76)</f>
        <v>29428.880000000001</v>
      </c>
      <c r="BV37" s="4">
        <f t="shared" ca="1" si="31"/>
        <v>333840.8</v>
      </c>
      <c r="BW37" s="4">
        <f t="shared" ca="1" si="69"/>
        <v>1037085.3700000001</v>
      </c>
      <c r="BX37" s="211">
        <v>7178</v>
      </c>
      <c r="BY37" s="211"/>
      <c r="BZ37" s="211">
        <v>30756.959999999999</v>
      </c>
      <c r="CA37" s="211">
        <v>4872</v>
      </c>
      <c r="CB37" s="211">
        <v>22146</v>
      </c>
      <c r="CC37" s="211"/>
      <c r="CD37" s="211">
        <v>9135</v>
      </c>
      <c r="CE37" s="211">
        <v>19200</v>
      </c>
      <c r="CF37" s="4">
        <f t="shared" si="70"/>
        <v>93287.959999999992</v>
      </c>
      <c r="CG37" s="211">
        <v>136783.45000000019</v>
      </c>
      <c r="CH37" s="4">
        <f t="shared" ca="1" si="91"/>
        <v>943797.41000000015</v>
      </c>
      <c r="CI37" s="211">
        <f t="shared" ca="1" si="71"/>
        <v>619800</v>
      </c>
      <c r="CJ37" s="4">
        <f t="shared" ca="1" si="72"/>
        <v>187213.95999999996</v>
      </c>
      <c r="CK37" s="211">
        <f ca="1">ROUND(SUMIF(норм2016!$Q$11:$AR$76,$C37,норм2016!$BG$11:$BG$76),2)</f>
        <v>807013.96</v>
      </c>
      <c r="CL37" s="211">
        <f t="shared" ca="1" si="73"/>
        <v>0</v>
      </c>
      <c r="CM37" s="4">
        <f t="shared" ca="1" si="35"/>
        <v>664955.08000000007</v>
      </c>
      <c r="CN37" s="4">
        <f t="shared" ca="1" si="36"/>
        <v>200316.25</v>
      </c>
      <c r="CO37" s="4">
        <f t="shared" ref="CO37" ca="1" si="96">SUM(CM37:CN37)</f>
        <v>865271.33000000007</v>
      </c>
      <c r="CP37" s="4">
        <f t="shared" ca="1" si="38"/>
        <v>7474555.0800000001</v>
      </c>
      <c r="CQ37" s="4">
        <f t="shared" ca="1" si="39"/>
        <v>2257315.63</v>
      </c>
      <c r="CR37" s="4">
        <f t="shared" ca="1" si="74"/>
        <v>9731870.7100000009</v>
      </c>
      <c r="CS37" s="4">
        <f t="shared" ca="1" si="75"/>
        <v>6718843</v>
      </c>
      <c r="CT37" s="4">
        <f t="shared" ca="1" si="40"/>
        <v>1036330.5</v>
      </c>
      <c r="CU37" s="4">
        <f t="shared" si="41"/>
        <v>0</v>
      </c>
      <c r="CV37" s="4">
        <f t="shared" ca="1" si="76"/>
        <v>2673685.33</v>
      </c>
      <c r="CW37" s="93">
        <f t="shared" ca="1" si="77"/>
        <v>10428858.83</v>
      </c>
      <c r="CX37" s="4">
        <f t="shared" ca="1" si="42"/>
        <v>0</v>
      </c>
      <c r="CY37" s="4">
        <f t="shared" ca="1" si="43"/>
        <v>0</v>
      </c>
      <c r="CZ37" s="4">
        <f t="shared" ca="1" si="78"/>
        <v>0</v>
      </c>
      <c r="DA37" s="216">
        <f t="shared" ca="1" si="44"/>
        <v>10428858.83</v>
      </c>
      <c r="DB37" s="4">
        <f t="shared" ca="1" si="45"/>
        <v>0</v>
      </c>
      <c r="DC37" s="211">
        <f t="shared" ca="1" si="46"/>
        <v>11294130.16</v>
      </c>
      <c r="DE37" s="4"/>
      <c r="DF37" s="4"/>
      <c r="DG37" s="4"/>
      <c r="DH37" s="4"/>
      <c r="DI37" s="4"/>
      <c r="DJ37" s="4"/>
      <c r="DK37" s="4">
        <f t="shared" si="79"/>
        <v>0</v>
      </c>
      <c r="DL37" s="4">
        <v>0</v>
      </c>
      <c r="DM37" s="4">
        <f t="shared" si="80"/>
        <v>24600</v>
      </c>
      <c r="DN37" s="211">
        <f t="shared" si="81"/>
        <v>0</v>
      </c>
      <c r="DO37" s="218">
        <f t="shared" si="82"/>
        <v>24600</v>
      </c>
      <c r="DP37" s="219">
        <f t="shared" ca="1" si="83"/>
        <v>11318730.16</v>
      </c>
      <c r="DQ37" s="8" t="s">
        <v>95</v>
      </c>
      <c r="EA37" s="1" t="s">
        <v>363</v>
      </c>
      <c r="EB37" s="10">
        <v>1104759.1599999999</v>
      </c>
      <c r="EC37" s="223">
        <v>0</v>
      </c>
    </row>
    <row r="38" spans="1:133">
      <c r="A38" s="12">
        <v>29</v>
      </c>
      <c r="B38" s="3" t="s">
        <v>73</v>
      </c>
      <c r="C38" s="12" t="s">
        <v>242</v>
      </c>
      <c r="D38" s="102"/>
      <c r="E38" s="102"/>
      <c r="F38" s="102"/>
      <c r="G38" s="4">
        <v>443382.36</v>
      </c>
      <c r="H38" s="211">
        <v>426733.60999999993</v>
      </c>
      <c r="I38" s="4">
        <f t="shared" si="47"/>
        <v>5120803.3199999994</v>
      </c>
      <c r="J38" s="4">
        <f t="shared" si="19"/>
        <v>1546482.6</v>
      </c>
      <c r="K38" s="4">
        <f t="shared" si="20"/>
        <v>6667285.9199999999</v>
      </c>
      <c r="L38" s="4">
        <f ca="1">SUMIF(норм2016!$Q$11:$AR$76,C38,норм2016!$AX$11:$AX$76)</f>
        <v>4786963</v>
      </c>
      <c r="M38" s="4">
        <f ca="1">SUMIF(норм2016!$Q$11:$AR$76,$C38,норм2016!$AY$11:$AY$76)</f>
        <v>3333004</v>
      </c>
      <c r="N38" s="4">
        <f t="shared" ca="1" si="21"/>
        <v>2560000</v>
      </c>
      <c r="O38" s="4">
        <f t="shared" ca="1" si="22"/>
        <v>773004</v>
      </c>
      <c r="P38" s="4">
        <f t="shared" ca="1" si="48"/>
        <v>3333004</v>
      </c>
      <c r="Q38" s="2"/>
      <c r="R38" s="2"/>
      <c r="S38" s="2"/>
      <c r="T38" s="2"/>
      <c r="U38" s="4">
        <f t="shared" ca="1" si="23"/>
        <v>2435103.3199999994</v>
      </c>
      <c r="V38" s="4">
        <f t="shared" ca="1" si="24"/>
        <v>735456.27000000014</v>
      </c>
      <c r="W38" s="4">
        <f t="shared" ca="1" si="92"/>
        <v>3170559.5899999994</v>
      </c>
      <c r="X38" s="4">
        <f ca="1">SUMIF(норм2016!$Q$11:$AR$76,$C38,норм2016!$AZ$11:$AZ$76)</f>
        <v>1453959</v>
      </c>
      <c r="Y38" s="4">
        <f t="shared" ca="1" si="49"/>
        <v>1117000</v>
      </c>
      <c r="Z38" s="4">
        <f t="shared" ca="1" si="50"/>
        <v>336959</v>
      </c>
      <c r="AA38" s="4">
        <f t="shared" ca="1" si="26"/>
        <v>1453959</v>
      </c>
      <c r="AB38" s="211">
        <f t="shared" ca="1" si="51"/>
        <v>1318103.32</v>
      </c>
      <c r="AC38" s="4">
        <f t="shared" ca="1" si="52"/>
        <v>398497.27000000014</v>
      </c>
      <c r="AD38" s="4">
        <f t="shared" ca="1" si="93"/>
        <v>1716600.5900000003</v>
      </c>
      <c r="AE38" s="4">
        <f ca="1">SUMIF(норм2016!$Q$11:$AR$76,$C38,норм2016!$BC$11:$BC$76)</f>
        <v>1135688.1299999999</v>
      </c>
      <c r="AF38" s="4">
        <f ca="1">SUMIF(норм2016!$Q$11:$AR$76,$C38,норм2016!$BM$11:$BM$76)</f>
        <v>403547.89</v>
      </c>
      <c r="AG38" s="4">
        <v>85800</v>
      </c>
      <c r="AH38" s="211">
        <v>0</v>
      </c>
      <c r="AI38" s="4">
        <f>SUMIF(газ!$G$71:$G$147,C38,газ!$J$71:$J$147)*1000</f>
        <v>145588.84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f t="shared" si="53"/>
        <v>231388.84</v>
      </c>
      <c r="AR38" s="211">
        <f t="shared" ca="1" si="54"/>
        <v>172159.05</v>
      </c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211">
        <f t="shared" si="56"/>
        <v>0</v>
      </c>
      <c r="BD38" s="4">
        <f t="shared" ca="1" si="57"/>
        <v>172159.05</v>
      </c>
      <c r="BE38" s="4">
        <f t="shared" si="58"/>
        <v>85800</v>
      </c>
      <c r="BF38" s="4">
        <f t="shared" si="59"/>
        <v>0</v>
      </c>
      <c r="BG38" s="4">
        <f t="shared" si="60"/>
        <v>145588.84</v>
      </c>
      <c r="BH38" s="4">
        <f t="shared" si="61"/>
        <v>0</v>
      </c>
      <c r="BI38" s="4">
        <f t="shared" si="62"/>
        <v>0</v>
      </c>
      <c r="BJ38" s="4">
        <f t="shared" si="63"/>
        <v>0</v>
      </c>
      <c r="BK38" s="4">
        <f t="shared" si="64"/>
        <v>0</v>
      </c>
      <c r="BL38" s="4">
        <f t="shared" si="65"/>
        <v>0</v>
      </c>
      <c r="BM38" s="4">
        <f t="shared" si="66"/>
        <v>0</v>
      </c>
      <c r="BN38" s="4">
        <f t="shared" si="67"/>
        <v>0</v>
      </c>
      <c r="BO38" s="4">
        <f t="shared" si="68"/>
        <v>231388.84</v>
      </c>
      <c r="BP38" s="4">
        <v>67000</v>
      </c>
      <c r="BQ38" s="211"/>
      <c r="BR38" s="4">
        <f t="shared" ca="1" si="94"/>
        <v>125700</v>
      </c>
      <c r="BS38" s="4">
        <f t="shared" ca="1" si="95"/>
        <v>38022.329999999987</v>
      </c>
      <c r="BT38" s="4">
        <f ca="1">SUMIF(норм2016!$Q$11:$AR$76,$C38,норм2016!$BE$11:$BE$76)</f>
        <v>163722.32999999999</v>
      </c>
      <c r="BU38" s="4">
        <f ca="1">SUMIF(норм2016!$Q$11:$AR$76,$C38,норм2016!$BF$11:$BF$76)</f>
        <v>0</v>
      </c>
      <c r="BV38" s="4">
        <f t="shared" ca="1" si="31"/>
        <v>163722.32999999999</v>
      </c>
      <c r="BW38" s="4">
        <f t="shared" ca="1" si="69"/>
        <v>740576.96</v>
      </c>
      <c r="BX38" s="211"/>
      <c r="BY38" s="211"/>
      <c r="BZ38" s="211">
        <v>20956.8</v>
      </c>
      <c r="CA38" s="211">
        <v>2520</v>
      </c>
      <c r="CB38" s="211">
        <v>18419</v>
      </c>
      <c r="CC38" s="211"/>
      <c r="CD38" s="211">
        <v>49.6</v>
      </c>
      <c r="CE38" s="211">
        <v>7200</v>
      </c>
      <c r="CF38" s="4">
        <f t="shared" si="70"/>
        <v>49145.4</v>
      </c>
      <c r="CG38" s="211">
        <v>188132.52999999991</v>
      </c>
      <c r="CH38" s="4">
        <f t="shared" ca="1" si="91"/>
        <v>691431.55999999994</v>
      </c>
      <c r="CI38" s="211">
        <f t="shared" ca="1" si="71"/>
        <v>386600</v>
      </c>
      <c r="CJ38" s="4">
        <f t="shared" ca="1" si="72"/>
        <v>116699.03000000003</v>
      </c>
      <c r="CK38" s="211">
        <f ca="1">ROUND(SUMIF(норм2016!$Q$11:$AR$76,$C38,норм2016!$BG$11:$BG$76),2)</f>
        <v>503299.03</v>
      </c>
      <c r="CL38" s="211">
        <f t="shared" ca="1" si="73"/>
        <v>0</v>
      </c>
      <c r="CM38" s="4">
        <f t="shared" ca="1" si="35"/>
        <v>931503.32000000007</v>
      </c>
      <c r="CN38" s="4">
        <f t="shared" ca="1" si="36"/>
        <v>281798.24000000011</v>
      </c>
      <c r="CO38" s="4">
        <f t="shared" ca="1" si="37"/>
        <v>1213301.56</v>
      </c>
      <c r="CP38" s="4">
        <f t="shared" ca="1" si="38"/>
        <v>5120803.32</v>
      </c>
      <c r="CQ38" s="4">
        <f t="shared" ca="1" si="39"/>
        <v>1546482.6</v>
      </c>
      <c r="CR38" s="4">
        <f t="shared" ca="1" si="74"/>
        <v>6667285.9199999999</v>
      </c>
      <c r="CS38" s="4">
        <f t="shared" ca="1" si="75"/>
        <v>3333004</v>
      </c>
      <c r="CT38" s="4">
        <f t="shared" ca="1" si="40"/>
        <v>1453959</v>
      </c>
      <c r="CU38" s="4">
        <f t="shared" si="41"/>
        <v>0</v>
      </c>
      <c r="CV38" s="4">
        <f t="shared" ca="1" si="76"/>
        <v>1135688.1299999999</v>
      </c>
      <c r="CW38" s="93">
        <f t="shared" ca="1" si="77"/>
        <v>5922651.1299999999</v>
      </c>
      <c r="CX38" s="4">
        <f t="shared" ca="1" si="42"/>
        <v>0</v>
      </c>
      <c r="CY38" s="4">
        <f t="shared" ca="1" si="43"/>
        <v>0</v>
      </c>
      <c r="CZ38" s="4">
        <f t="shared" ca="1" si="78"/>
        <v>0</v>
      </c>
      <c r="DA38" s="216">
        <f t="shared" ca="1" si="44"/>
        <v>5922651.1299999999</v>
      </c>
      <c r="DB38" s="4">
        <f t="shared" ca="1" si="45"/>
        <v>0</v>
      </c>
      <c r="DC38" s="211">
        <f t="shared" ca="1" si="46"/>
        <v>7135952.6899999995</v>
      </c>
      <c r="DE38" s="4"/>
      <c r="DF38" s="4"/>
      <c r="DG38" s="4"/>
      <c r="DH38" s="4"/>
      <c r="DI38" s="4"/>
      <c r="DJ38" s="4"/>
      <c r="DK38" s="4">
        <f t="shared" si="79"/>
        <v>0</v>
      </c>
      <c r="DL38" s="4">
        <v>0</v>
      </c>
      <c r="DM38" s="4">
        <f t="shared" si="80"/>
        <v>67000</v>
      </c>
      <c r="DN38" s="211">
        <f t="shared" si="81"/>
        <v>0</v>
      </c>
      <c r="DO38" s="218">
        <f t="shared" si="82"/>
        <v>67000</v>
      </c>
      <c r="DP38" s="219">
        <f t="shared" ca="1" si="83"/>
        <v>7202952.6899999995</v>
      </c>
      <c r="DQ38" s="8" t="s">
        <v>102</v>
      </c>
      <c r="EA38" s="1" t="s">
        <v>363</v>
      </c>
      <c r="EB38" s="10">
        <v>0</v>
      </c>
      <c r="EC38" s="223">
        <v>0</v>
      </c>
    </row>
    <row r="39" spans="1:133">
      <c r="A39" s="12">
        <v>30</v>
      </c>
      <c r="B39" s="3" t="s">
        <v>74</v>
      </c>
      <c r="C39" s="12" t="s">
        <v>246</v>
      </c>
      <c r="D39" s="102"/>
      <c r="E39" s="102"/>
      <c r="F39" s="102"/>
      <c r="G39" s="4">
        <v>572632.28</v>
      </c>
      <c r="H39" s="211">
        <v>551528.99</v>
      </c>
      <c r="I39" s="4">
        <f t="shared" si="47"/>
        <v>6618347.8799999999</v>
      </c>
      <c r="J39" s="4">
        <f t="shared" si="19"/>
        <v>1998741.06</v>
      </c>
      <c r="K39" s="4">
        <f t="shared" si="20"/>
        <v>8617088.9399999995</v>
      </c>
      <c r="L39" s="4">
        <f ca="1">SUMIF(норм2016!$Q$11:$AR$76,C39,норм2016!$AX$11:$AX$76)</f>
        <v>6539779</v>
      </c>
      <c r="M39" s="4">
        <f ca="1">SUMIF(норм2016!$Q$11:$AR$76,$C39,норм2016!$AY$11:$AY$76)</f>
        <v>6539779</v>
      </c>
      <c r="N39" s="4">
        <f t="shared" ca="1" si="21"/>
        <v>5023000</v>
      </c>
      <c r="O39" s="4">
        <f t="shared" ca="1" si="22"/>
        <v>1516779</v>
      </c>
      <c r="P39" s="4">
        <f t="shared" ca="1" si="48"/>
        <v>6539779</v>
      </c>
      <c r="Q39" s="2"/>
      <c r="R39" s="2"/>
      <c r="S39" s="2"/>
      <c r="T39" s="2"/>
      <c r="U39" s="4">
        <f t="shared" ca="1" si="23"/>
        <v>1408247.88</v>
      </c>
      <c r="V39" s="4">
        <f t="shared" ca="1" si="24"/>
        <v>425459.06000000006</v>
      </c>
      <c r="W39" s="4">
        <f t="shared" ca="1" si="92"/>
        <v>1833706.94</v>
      </c>
      <c r="X39" s="4">
        <f ca="1">SUMIF(норм2016!$Q$11:$AR$76,$C39,норм2016!$AZ$11:$AZ$76)</f>
        <v>0</v>
      </c>
      <c r="Y39" s="4">
        <f t="shared" ca="1" si="49"/>
        <v>0</v>
      </c>
      <c r="Z39" s="4">
        <f t="shared" ca="1" si="50"/>
        <v>0</v>
      </c>
      <c r="AA39" s="4">
        <f t="shared" ca="1" si="26"/>
        <v>0</v>
      </c>
      <c r="AB39" s="211">
        <f t="shared" ca="1" si="51"/>
        <v>1408247.88</v>
      </c>
      <c r="AC39" s="4">
        <f t="shared" ca="1" si="52"/>
        <v>425459.06000000006</v>
      </c>
      <c r="AD39" s="4">
        <f t="shared" ca="1" si="93"/>
        <v>1833706.94</v>
      </c>
      <c r="AE39" s="4">
        <f ca="1">SUMIF(норм2016!$Q$11:$AR$76,$C39,норм2016!$BC$11:$BC$76)</f>
        <v>1752427.16</v>
      </c>
      <c r="AF39" s="4">
        <f ca="1">SUMIF(норм2016!$Q$11:$AR$76,$C39,норм2016!$BM$11:$BM$76)</f>
        <v>898611.32</v>
      </c>
      <c r="AG39" s="4">
        <v>27500</v>
      </c>
      <c r="AH39" s="211">
        <v>708412.01</v>
      </c>
      <c r="AI39" s="4">
        <f>SUMIF(газ!$G$71:$G$147,C39,газ!$J$71:$J$147)*1000</f>
        <v>96658.17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f t="shared" si="53"/>
        <v>832570.18</v>
      </c>
      <c r="AR39" s="211">
        <f t="shared" ca="1" si="54"/>
        <v>66041.14</v>
      </c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211">
        <f t="shared" si="56"/>
        <v>0</v>
      </c>
      <c r="BD39" s="4">
        <f t="shared" ca="1" si="57"/>
        <v>66041.14</v>
      </c>
      <c r="BE39" s="4">
        <f t="shared" si="58"/>
        <v>27500</v>
      </c>
      <c r="BF39" s="4">
        <f t="shared" si="59"/>
        <v>708412.01</v>
      </c>
      <c r="BG39" s="4">
        <f t="shared" si="60"/>
        <v>96658.17</v>
      </c>
      <c r="BH39" s="4">
        <f t="shared" si="61"/>
        <v>0</v>
      </c>
      <c r="BI39" s="4">
        <f t="shared" si="62"/>
        <v>0</v>
      </c>
      <c r="BJ39" s="4">
        <f t="shared" si="63"/>
        <v>0</v>
      </c>
      <c r="BK39" s="4">
        <f t="shared" si="64"/>
        <v>0</v>
      </c>
      <c r="BL39" s="4">
        <f t="shared" si="65"/>
        <v>0</v>
      </c>
      <c r="BM39" s="4">
        <f t="shared" si="66"/>
        <v>0</v>
      </c>
      <c r="BN39" s="4">
        <f t="shared" si="67"/>
        <v>0</v>
      </c>
      <c r="BO39" s="4">
        <f t="shared" si="68"/>
        <v>832570.18</v>
      </c>
      <c r="BP39" s="4">
        <v>0</v>
      </c>
      <c r="BQ39" s="211">
        <v>38410</v>
      </c>
      <c r="BR39" s="4">
        <f t="shared" ca="1" si="94"/>
        <v>187100</v>
      </c>
      <c r="BS39" s="4">
        <f t="shared" ca="1" si="95"/>
        <v>56503</v>
      </c>
      <c r="BT39" s="4">
        <f ca="1">SUMIF(норм2016!$Q$11:$AR$76,$C39,норм2016!$BE$11:$BE$76)</f>
        <v>243603</v>
      </c>
      <c r="BU39" s="4">
        <f ca="1">SUMIF(норм2016!$Q$11:$AR$76,$C39,норм2016!$BF$11:$BF$76)</f>
        <v>0</v>
      </c>
      <c r="BV39" s="4">
        <f t="shared" ca="1" si="31"/>
        <v>243603</v>
      </c>
      <c r="BW39" s="4">
        <f t="shared" ca="1" si="69"/>
        <v>676253.97999999986</v>
      </c>
      <c r="BX39" s="211"/>
      <c r="BY39" s="211"/>
      <c r="BZ39" s="211">
        <v>19682.400000000001</v>
      </c>
      <c r="CA39" s="211">
        <v>14893.2</v>
      </c>
      <c r="CB39" s="211">
        <v>18419</v>
      </c>
      <c r="CC39" s="211"/>
      <c r="CD39" s="115">
        <f>38410-38410</f>
        <v>0</v>
      </c>
      <c r="CE39" s="211">
        <v>13500</v>
      </c>
      <c r="CF39" s="4">
        <f t="shared" si="70"/>
        <v>66494.600000000006</v>
      </c>
      <c r="CG39" s="211">
        <v>106460.34999999986</v>
      </c>
      <c r="CH39" s="4">
        <f t="shared" ca="1" si="91"/>
        <v>609759.37999999989</v>
      </c>
      <c r="CI39" s="211">
        <f t="shared" ca="1" si="71"/>
        <v>386600</v>
      </c>
      <c r="CJ39" s="4">
        <f t="shared" ca="1" si="72"/>
        <v>116699.03000000003</v>
      </c>
      <c r="CK39" s="211">
        <f ca="1">ROUND(SUMIF(норм2016!$Q$11:$AR$76,$C39,норм2016!$BG$11:$BG$76),2)</f>
        <v>503299.03</v>
      </c>
      <c r="CL39" s="211">
        <f t="shared" ca="1" si="73"/>
        <v>0</v>
      </c>
      <c r="CM39" s="4">
        <f t="shared" ca="1" si="35"/>
        <v>1021647.8799999999</v>
      </c>
      <c r="CN39" s="4">
        <f t="shared" ca="1" si="36"/>
        <v>308760.03000000003</v>
      </c>
      <c r="CO39" s="4">
        <f t="shared" ca="1" si="37"/>
        <v>1330407.9099999999</v>
      </c>
      <c r="CP39" s="4">
        <f t="shared" ca="1" si="38"/>
        <v>6618347.8799999999</v>
      </c>
      <c r="CQ39" s="4">
        <f t="shared" ca="1" si="39"/>
        <v>1998741.06</v>
      </c>
      <c r="CR39" s="4">
        <f t="shared" ca="1" si="74"/>
        <v>8617088.9399999995</v>
      </c>
      <c r="CS39" s="4">
        <f t="shared" ca="1" si="75"/>
        <v>6539779</v>
      </c>
      <c r="CT39" s="4">
        <f t="shared" ca="1" si="40"/>
        <v>0</v>
      </c>
      <c r="CU39" s="4">
        <f t="shared" si="41"/>
        <v>0</v>
      </c>
      <c r="CV39" s="4">
        <f t="shared" ca="1" si="76"/>
        <v>1752427.1600000001</v>
      </c>
      <c r="CW39" s="93">
        <f t="shared" ca="1" si="77"/>
        <v>8292206.1600000001</v>
      </c>
      <c r="CX39" s="4">
        <f t="shared" ca="1" si="42"/>
        <v>0</v>
      </c>
      <c r="CY39" s="4">
        <f t="shared" ca="1" si="43"/>
        <v>0</v>
      </c>
      <c r="CZ39" s="4">
        <f t="shared" ca="1" si="78"/>
        <v>0</v>
      </c>
      <c r="DA39" s="216">
        <f t="shared" ca="1" si="44"/>
        <v>8292206.1600000001</v>
      </c>
      <c r="DB39" s="4">
        <f t="shared" ca="1" si="45"/>
        <v>0</v>
      </c>
      <c r="DC39" s="211">
        <f t="shared" ca="1" si="46"/>
        <v>9622614.0700000003</v>
      </c>
      <c r="DE39" s="4"/>
      <c r="DF39" s="4"/>
      <c r="DG39" s="4"/>
      <c r="DH39" s="4"/>
      <c r="DI39" s="4"/>
      <c r="DJ39" s="4"/>
      <c r="DK39" s="4">
        <f t="shared" si="79"/>
        <v>0</v>
      </c>
      <c r="DL39" s="4">
        <v>0</v>
      </c>
      <c r="DM39" s="4">
        <f t="shared" si="80"/>
        <v>0</v>
      </c>
      <c r="DN39" s="211">
        <f t="shared" si="81"/>
        <v>38410</v>
      </c>
      <c r="DO39" s="218">
        <f t="shared" si="82"/>
        <v>38410</v>
      </c>
      <c r="DP39" s="219">
        <f t="shared" ca="1" si="83"/>
        <v>9661024.0700000003</v>
      </c>
      <c r="DQ39" s="8" t="s">
        <v>118</v>
      </c>
      <c r="EA39" s="1" t="s">
        <v>363</v>
      </c>
      <c r="EB39" s="10">
        <v>708412.01</v>
      </c>
      <c r="EC39" s="223">
        <v>0</v>
      </c>
    </row>
    <row r="40" spans="1:133">
      <c r="A40" s="12">
        <v>31</v>
      </c>
      <c r="B40" s="3" t="s">
        <v>75</v>
      </c>
      <c r="C40" s="12" t="s">
        <v>250</v>
      </c>
      <c r="D40" s="102"/>
      <c r="E40" s="102"/>
      <c r="F40" s="102"/>
      <c r="G40" s="4">
        <v>673123.31</v>
      </c>
      <c r="H40" s="211">
        <v>642362.61000000034</v>
      </c>
      <c r="I40" s="4">
        <f t="shared" si="47"/>
        <v>7708351.320000004</v>
      </c>
      <c r="J40" s="4">
        <f t="shared" si="19"/>
        <v>2327922.1</v>
      </c>
      <c r="K40" s="4">
        <f t="shared" si="20"/>
        <v>10036273.420000004</v>
      </c>
      <c r="L40" s="4">
        <f ca="1">SUMIF(норм2016!$Q$11:$AR$76,C40,норм2016!$AX$11:$AX$76)</f>
        <v>7394360.5</v>
      </c>
      <c r="M40" s="4">
        <f ca="1">SUMIF(норм2016!$Q$11:$AR$76,$C40,норм2016!$AY$11:$AY$76)</f>
        <v>5761416</v>
      </c>
      <c r="N40" s="4">
        <f t="shared" ca="1" si="21"/>
        <v>4425000</v>
      </c>
      <c r="O40" s="4">
        <f t="shared" ca="1" si="22"/>
        <v>1336416</v>
      </c>
      <c r="P40" s="4">
        <f t="shared" ca="1" si="48"/>
        <v>5761416</v>
      </c>
      <c r="Q40" s="2"/>
      <c r="R40" s="2"/>
      <c r="S40" s="2"/>
      <c r="T40" s="2"/>
      <c r="U40" s="4">
        <f t="shared" ca="1" si="23"/>
        <v>3102651.320000004</v>
      </c>
      <c r="V40" s="4">
        <f t="shared" ca="1" si="24"/>
        <v>936879.29</v>
      </c>
      <c r="W40" s="4">
        <f t="shared" ca="1" si="92"/>
        <v>4039530.6100000041</v>
      </c>
      <c r="X40" s="4">
        <f ca="1">SUMIF(норм2016!$Q$11:$AR$76,$C40,норм2016!$AZ$11:$AZ$76)</f>
        <v>1632944.5</v>
      </c>
      <c r="Y40" s="4">
        <f t="shared" ca="1" si="49"/>
        <v>1254000</v>
      </c>
      <c r="Z40" s="4">
        <f t="shared" ca="1" si="50"/>
        <v>378944.5</v>
      </c>
      <c r="AA40" s="4">
        <f t="shared" ca="1" si="26"/>
        <v>1632944.5</v>
      </c>
      <c r="AB40" s="211">
        <f t="shared" ca="1" si="51"/>
        <v>1848651.32</v>
      </c>
      <c r="AC40" s="4">
        <f t="shared" ca="1" si="52"/>
        <v>557934.79</v>
      </c>
      <c r="AD40" s="4">
        <f t="shared" ca="1" si="93"/>
        <v>2406586.1100000003</v>
      </c>
      <c r="AE40" s="4">
        <f ca="1">SUMIF(норм2016!$Q$11:$AR$76,$C40,норм2016!$BC$11:$BC$76)</f>
        <v>2526133.12</v>
      </c>
      <c r="AF40" s="4">
        <f ca="1">SUMIF(норм2016!$Q$11:$AR$76,$C40,норм2016!$BM$11:$BM$76)</f>
        <v>1300889.8400000001</v>
      </c>
      <c r="AG40" s="4">
        <v>358600</v>
      </c>
      <c r="AH40" s="211">
        <v>891535.04</v>
      </c>
      <c r="AI40" s="4">
        <f>SUMIF(газ!$G$71:$G$147,C40,газ!$J$71:$J$147)*1000</f>
        <v>0</v>
      </c>
      <c r="AJ40" s="4">
        <v>0</v>
      </c>
      <c r="AK40" s="4">
        <v>0</v>
      </c>
      <c r="AL40" s="4">
        <v>93000</v>
      </c>
      <c r="AM40" s="4">
        <v>0</v>
      </c>
      <c r="AN40" s="4">
        <v>0</v>
      </c>
      <c r="AO40" s="4">
        <v>0</v>
      </c>
      <c r="AP40" s="4">
        <v>0</v>
      </c>
      <c r="AQ40" s="4">
        <f t="shared" si="53"/>
        <v>1343135.04</v>
      </c>
      <c r="AR40" s="211">
        <f t="shared" ca="1" si="54"/>
        <v>-42245.2</v>
      </c>
      <c r="AS40" s="4"/>
      <c r="AT40" s="4">
        <f t="shared" ca="1" si="89"/>
        <v>42245.2</v>
      </c>
      <c r="AU40" s="4"/>
      <c r="AV40" s="4"/>
      <c r="AW40" s="4"/>
      <c r="AX40" s="4"/>
      <c r="AY40" s="4"/>
      <c r="AZ40" s="4"/>
      <c r="BA40" s="4"/>
      <c r="BB40" s="4"/>
      <c r="BC40" s="211">
        <f t="shared" ca="1" si="56"/>
        <v>42245.2</v>
      </c>
      <c r="BD40" s="4">
        <f t="shared" ca="1" si="57"/>
        <v>0</v>
      </c>
      <c r="BE40" s="4">
        <f t="shared" si="58"/>
        <v>358600</v>
      </c>
      <c r="BF40" s="4">
        <f t="shared" ca="1" si="59"/>
        <v>849289.84000000008</v>
      </c>
      <c r="BG40" s="4">
        <f t="shared" si="60"/>
        <v>0</v>
      </c>
      <c r="BH40" s="4">
        <f t="shared" si="61"/>
        <v>0</v>
      </c>
      <c r="BI40" s="4">
        <f t="shared" si="62"/>
        <v>0</v>
      </c>
      <c r="BJ40" s="4">
        <f t="shared" si="63"/>
        <v>93000</v>
      </c>
      <c r="BK40" s="4">
        <f t="shared" si="64"/>
        <v>0</v>
      </c>
      <c r="BL40" s="4">
        <f t="shared" si="65"/>
        <v>0</v>
      </c>
      <c r="BM40" s="4">
        <f t="shared" si="66"/>
        <v>0</v>
      </c>
      <c r="BN40" s="4">
        <f t="shared" si="67"/>
        <v>0</v>
      </c>
      <c r="BO40" s="4">
        <f t="shared" ca="1" si="68"/>
        <v>1300889.8400000001</v>
      </c>
      <c r="BP40" s="4">
        <v>0</v>
      </c>
      <c r="BQ40" s="211"/>
      <c r="BR40" s="4">
        <f t="shared" ca="1" si="94"/>
        <v>180700</v>
      </c>
      <c r="BS40" s="4">
        <f t="shared" ca="1" si="95"/>
        <v>54626.81</v>
      </c>
      <c r="BT40" s="4">
        <f ca="1">SUMIF(норм2016!$Q$11:$AR$76,$C40,норм2016!$BE$11:$BE$76)</f>
        <v>235326.81</v>
      </c>
      <c r="BU40" s="4">
        <f ca="1">SUMIF(норм2016!$Q$11:$AR$76,$C40,норм2016!$BF$11:$BF$76)</f>
        <v>23543.1</v>
      </c>
      <c r="BV40" s="4">
        <f t="shared" ca="1" si="31"/>
        <v>258869.91</v>
      </c>
      <c r="BW40" s="4">
        <f t="shared" ca="1" si="69"/>
        <v>966373.37</v>
      </c>
      <c r="BX40" s="211"/>
      <c r="BY40" s="211"/>
      <c r="BZ40" s="211">
        <v>48639.6</v>
      </c>
      <c r="CA40" s="211">
        <v>3990</v>
      </c>
      <c r="CB40" s="211">
        <v>18419</v>
      </c>
      <c r="CC40" s="211"/>
      <c r="CD40" s="211">
        <v>3780</v>
      </c>
      <c r="CE40" s="211">
        <v>10800</v>
      </c>
      <c r="CF40" s="4">
        <f t="shared" si="70"/>
        <v>85628.6</v>
      </c>
      <c r="CG40" s="211">
        <v>73730.810000000056</v>
      </c>
      <c r="CH40" s="4">
        <f t="shared" ca="1" si="91"/>
        <v>880744.77</v>
      </c>
      <c r="CI40" s="211">
        <f t="shared" ca="1" si="71"/>
        <v>619800</v>
      </c>
      <c r="CJ40" s="4">
        <f t="shared" ca="1" si="72"/>
        <v>187213.95999999996</v>
      </c>
      <c r="CK40" s="211">
        <f ca="1">ROUND(SUMIF(норм2016!$Q$11:$AR$76,$C40,норм2016!$BG$11:$BG$76),2)</f>
        <v>807013.96</v>
      </c>
      <c r="CL40" s="211">
        <f t="shared" ca="1" si="73"/>
        <v>0</v>
      </c>
      <c r="CM40" s="4">
        <f t="shared" ca="1" si="35"/>
        <v>1228851.32</v>
      </c>
      <c r="CN40" s="4">
        <f t="shared" ca="1" si="36"/>
        <v>370720.83000000007</v>
      </c>
      <c r="CO40" s="4">
        <f t="shared" ca="1" si="37"/>
        <v>1599572.1500000001</v>
      </c>
      <c r="CP40" s="4">
        <f t="shared" ca="1" si="38"/>
        <v>7708351.3200000003</v>
      </c>
      <c r="CQ40" s="4">
        <f t="shared" ca="1" si="39"/>
        <v>2327922.1</v>
      </c>
      <c r="CR40" s="4">
        <f t="shared" ca="1" si="74"/>
        <v>10036273.42</v>
      </c>
      <c r="CS40" s="4">
        <f t="shared" ca="1" si="75"/>
        <v>5761416</v>
      </c>
      <c r="CT40" s="4">
        <f t="shared" ca="1" si="40"/>
        <v>1632944.5</v>
      </c>
      <c r="CU40" s="4">
        <f t="shared" si="41"/>
        <v>0</v>
      </c>
      <c r="CV40" s="4">
        <f t="shared" ca="1" si="76"/>
        <v>2526133.12</v>
      </c>
      <c r="CW40" s="93">
        <f t="shared" ca="1" si="77"/>
        <v>9920493.620000001</v>
      </c>
      <c r="CX40" s="4">
        <f t="shared" ca="1" si="42"/>
        <v>0</v>
      </c>
      <c r="CY40" s="4">
        <f t="shared" ca="1" si="43"/>
        <v>0</v>
      </c>
      <c r="CZ40" s="4">
        <f t="shared" ca="1" si="78"/>
        <v>0</v>
      </c>
      <c r="DA40" s="216">
        <f t="shared" ca="1" si="44"/>
        <v>9920493.620000001</v>
      </c>
      <c r="DB40" s="4">
        <f t="shared" ca="1" si="45"/>
        <v>0</v>
      </c>
      <c r="DC40" s="211">
        <f t="shared" ca="1" si="46"/>
        <v>11520065.770000001</v>
      </c>
      <c r="DE40" s="4"/>
      <c r="DF40" s="4"/>
      <c r="DG40" s="4"/>
      <c r="DH40" s="4"/>
      <c r="DI40" s="4"/>
      <c r="DJ40" s="4"/>
      <c r="DK40" s="4">
        <f t="shared" ca="1" si="79"/>
        <v>42245.2</v>
      </c>
      <c r="DL40" s="4">
        <v>0</v>
      </c>
      <c r="DM40" s="4">
        <f t="shared" si="80"/>
        <v>0</v>
      </c>
      <c r="DN40" s="211">
        <f t="shared" si="81"/>
        <v>0</v>
      </c>
      <c r="DO40" s="218">
        <f t="shared" ca="1" si="82"/>
        <v>42245.2</v>
      </c>
      <c r="DP40" s="219">
        <f t="shared" ca="1" si="83"/>
        <v>11562310.970000001</v>
      </c>
      <c r="DQ40" s="8" t="s">
        <v>119</v>
      </c>
      <c r="EA40" s="1" t="s">
        <v>363</v>
      </c>
      <c r="EB40" s="10">
        <v>891535.04</v>
      </c>
      <c r="EC40" s="223">
        <v>0</v>
      </c>
    </row>
    <row r="41" spans="1:133">
      <c r="A41" s="12">
        <v>32</v>
      </c>
      <c r="B41" s="3" t="s">
        <v>76</v>
      </c>
      <c r="C41" s="12" t="s">
        <v>252</v>
      </c>
      <c r="D41" s="102"/>
      <c r="E41" s="102"/>
      <c r="F41" s="102"/>
      <c r="G41" s="4">
        <v>742759.0199999999</v>
      </c>
      <c r="H41" s="211">
        <v>775970.19</v>
      </c>
      <c r="I41" s="4">
        <f t="shared" si="47"/>
        <v>9311642.2799999993</v>
      </c>
      <c r="J41" s="4">
        <f t="shared" si="19"/>
        <v>2812115.97</v>
      </c>
      <c r="K41" s="4">
        <f t="shared" si="20"/>
        <v>12123758.25</v>
      </c>
      <c r="L41" s="4">
        <f ca="1">SUMIF(норм2016!$Q$11:$AR$76,C41,норм2016!$AX$11:$AX$76)</f>
        <v>8631718.6999999993</v>
      </c>
      <c r="M41" s="4">
        <f ca="1">SUMIF(норм2016!$Q$11:$AR$76,$C41,норм2016!$AY$11:$AY$76)</f>
        <v>7939593.2000000002</v>
      </c>
      <c r="N41" s="4">
        <f t="shared" ca="1" si="21"/>
        <v>6098000</v>
      </c>
      <c r="O41" s="4">
        <f t="shared" ca="1" si="22"/>
        <v>1841593.2000000002</v>
      </c>
      <c r="P41" s="4">
        <f t="shared" ca="1" si="48"/>
        <v>7939593.2000000002</v>
      </c>
      <c r="Q41" s="2"/>
      <c r="R41" s="2"/>
      <c r="S41" s="2"/>
      <c r="T41" s="2"/>
      <c r="U41" s="4">
        <f t="shared" ca="1" si="23"/>
        <v>2976942.2799999993</v>
      </c>
      <c r="V41" s="4">
        <f t="shared" ca="1" si="24"/>
        <v>899064.99</v>
      </c>
      <c r="W41" s="4">
        <f t="shared" ca="1" si="92"/>
        <v>3876007.2699999996</v>
      </c>
      <c r="X41" s="4">
        <f ca="1">SUMIF(норм2016!$Q$11:$AR$76,$C41,норм2016!$AZ$11:$AZ$76)</f>
        <v>692125.5</v>
      </c>
      <c r="Y41" s="4">
        <f t="shared" ca="1" si="49"/>
        <v>532000</v>
      </c>
      <c r="Z41" s="4">
        <f t="shared" ca="1" si="50"/>
        <v>160125.5</v>
      </c>
      <c r="AA41" s="4">
        <f t="shared" ca="1" si="26"/>
        <v>692125.5</v>
      </c>
      <c r="AB41" s="211">
        <f t="shared" ca="1" si="51"/>
        <v>2444942.2799999998</v>
      </c>
      <c r="AC41" s="4">
        <f t="shared" ca="1" si="52"/>
        <v>738939.49</v>
      </c>
      <c r="AD41" s="4">
        <f t="shared" ca="1" si="93"/>
        <v>3183881.7699999996</v>
      </c>
      <c r="AE41" s="4">
        <f ca="1">SUMIF(норм2016!$Q$11:$AR$76,$C41,норм2016!$BC$11:$BC$76)</f>
        <v>2902324.25</v>
      </c>
      <c r="AF41" s="4">
        <f ca="1">SUMIF(норм2016!$Q$11:$AR$76,$C41,норм2016!$BM$11:$BM$76)</f>
        <v>1513788.5</v>
      </c>
      <c r="AG41" s="4">
        <v>261250</v>
      </c>
      <c r="AH41" s="211">
        <v>1328908.55</v>
      </c>
      <c r="AI41" s="4">
        <f>SUMIF(газ!$G$71:$G$147,C41,газ!$J$71:$J$147)*1000</f>
        <v>0</v>
      </c>
      <c r="AJ41" s="4">
        <v>0</v>
      </c>
      <c r="AK41" s="4">
        <v>0</v>
      </c>
      <c r="AL41" s="4">
        <v>0</v>
      </c>
      <c r="AM41" s="4">
        <v>0</v>
      </c>
      <c r="AN41" s="4">
        <v>100000</v>
      </c>
      <c r="AO41" s="4">
        <v>0</v>
      </c>
      <c r="AP41" s="4">
        <v>0</v>
      </c>
      <c r="AQ41" s="4">
        <f t="shared" si="53"/>
        <v>1690158.55</v>
      </c>
      <c r="AR41" s="211">
        <f t="shared" ca="1" si="54"/>
        <v>-176370.05</v>
      </c>
      <c r="AS41" s="4"/>
      <c r="AT41" s="4">
        <f t="shared" ca="1" si="89"/>
        <v>176370.05</v>
      </c>
      <c r="AU41" s="4"/>
      <c r="AV41" s="4"/>
      <c r="AW41" s="4"/>
      <c r="AX41" s="4"/>
      <c r="AY41" s="4"/>
      <c r="AZ41" s="4"/>
      <c r="BA41" s="4"/>
      <c r="BB41" s="4"/>
      <c r="BC41" s="211">
        <f t="shared" ca="1" si="56"/>
        <v>176370.05</v>
      </c>
      <c r="BD41" s="4">
        <f t="shared" ca="1" si="57"/>
        <v>0</v>
      </c>
      <c r="BE41" s="4">
        <f t="shared" si="58"/>
        <v>261250</v>
      </c>
      <c r="BF41" s="4">
        <f t="shared" ca="1" si="59"/>
        <v>1152538.5</v>
      </c>
      <c r="BG41" s="4">
        <f t="shared" si="60"/>
        <v>0</v>
      </c>
      <c r="BH41" s="4">
        <f t="shared" si="61"/>
        <v>0</v>
      </c>
      <c r="BI41" s="4">
        <f t="shared" si="62"/>
        <v>0</v>
      </c>
      <c r="BJ41" s="4">
        <f t="shared" si="63"/>
        <v>0</v>
      </c>
      <c r="BK41" s="4">
        <f t="shared" si="64"/>
        <v>0</v>
      </c>
      <c r="BL41" s="4">
        <f t="shared" si="65"/>
        <v>100000</v>
      </c>
      <c r="BM41" s="4">
        <f t="shared" si="66"/>
        <v>0</v>
      </c>
      <c r="BN41" s="4">
        <f t="shared" si="67"/>
        <v>0</v>
      </c>
      <c r="BO41" s="4">
        <f t="shared" ca="1" si="68"/>
        <v>1513788.5</v>
      </c>
      <c r="BP41" s="4">
        <v>0</v>
      </c>
      <c r="BQ41" s="211"/>
      <c r="BR41" s="4">
        <f t="shared" ca="1" si="94"/>
        <v>236700</v>
      </c>
      <c r="BS41" s="4">
        <f t="shared" ca="1" si="95"/>
        <v>71457.780000000028</v>
      </c>
      <c r="BT41" s="4">
        <f ca="1">SUMIF(норм2016!$Q$11:$AR$76,$C41,норм2016!$BE$11:$BE$76)</f>
        <v>308157.78000000003</v>
      </c>
      <c r="BU41" s="4">
        <f ca="1">SUMIF(норм2016!$Q$11:$AR$76,$C41,норм2016!$BF$11:$BF$76)</f>
        <v>29428.880000000001</v>
      </c>
      <c r="BV41" s="4">
        <f t="shared" ca="1" si="31"/>
        <v>337586.66000000003</v>
      </c>
      <c r="BW41" s="4">
        <f t="shared" ca="1" si="69"/>
        <v>1050949.0899999999</v>
      </c>
      <c r="BX41" s="211">
        <v>8613.6</v>
      </c>
      <c r="BY41" s="211"/>
      <c r="BZ41" s="211">
        <v>28957.200000000001</v>
      </c>
      <c r="CA41" s="211">
        <v>21000</v>
      </c>
      <c r="CB41" s="211">
        <v>18419</v>
      </c>
      <c r="CC41" s="211"/>
      <c r="CD41" s="211">
        <v>18158</v>
      </c>
      <c r="CE41" s="211"/>
      <c r="CF41" s="4">
        <f t="shared" si="70"/>
        <v>95147.8</v>
      </c>
      <c r="CG41" s="211">
        <v>122754.60999999975</v>
      </c>
      <c r="CH41" s="211">
        <f t="shared" ca="1" si="91"/>
        <v>955801.2899999998</v>
      </c>
      <c r="CI41" s="211">
        <f t="shared" ca="1" si="71"/>
        <v>639800</v>
      </c>
      <c r="CJ41" s="4">
        <f t="shared" ca="1" si="72"/>
        <v>193246.68000000005</v>
      </c>
      <c r="CK41" s="211">
        <f ca="1">ROUND(SUMIF(норм2016!$Q$11:$AR$76,$C41,норм2016!$BG$11:$BG$76),2)</f>
        <v>833046.68</v>
      </c>
      <c r="CL41" s="211">
        <f t="shared" ca="1" si="73"/>
        <v>0</v>
      </c>
      <c r="CM41" s="4">
        <f t="shared" ca="1" si="35"/>
        <v>1805142.2799999998</v>
      </c>
      <c r="CN41" s="4">
        <f t="shared" ca="1" si="36"/>
        <v>545692.80999999994</v>
      </c>
      <c r="CO41" s="4">
        <f t="shared" ca="1" si="37"/>
        <v>2350835.09</v>
      </c>
      <c r="CP41" s="4">
        <f t="shared" ca="1" si="38"/>
        <v>9311642.2799999993</v>
      </c>
      <c r="CQ41" s="4">
        <f t="shared" ca="1" si="39"/>
        <v>2812115.9700000007</v>
      </c>
      <c r="CR41" s="4">
        <f t="shared" ca="1" si="74"/>
        <v>12123758.25</v>
      </c>
      <c r="CS41" s="4">
        <f t="shared" ca="1" si="75"/>
        <v>7939593.2000000002</v>
      </c>
      <c r="CT41" s="4">
        <f t="shared" ca="1" si="40"/>
        <v>692125.5</v>
      </c>
      <c r="CU41" s="4">
        <f t="shared" si="41"/>
        <v>0</v>
      </c>
      <c r="CV41" s="4">
        <f t="shared" ca="1" si="76"/>
        <v>2902324.25</v>
      </c>
      <c r="CW41" s="93">
        <f t="shared" ca="1" si="77"/>
        <v>11534042.949999999</v>
      </c>
      <c r="CX41" s="4">
        <f t="shared" ca="1" si="42"/>
        <v>0</v>
      </c>
      <c r="CY41" s="4">
        <f t="shared" ca="1" si="43"/>
        <v>0</v>
      </c>
      <c r="CZ41" s="4">
        <f t="shared" ca="1" si="78"/>
        <v>0</v>
      </c>
      <c r="DA41" s="216">
        <f t="shared" ca="1" si="44"/>
        <v>11534042.949999999</v>
      </c>
      <c r="DB41" s="4">
        <f t="shared" ca="1" si="45"/>
        <v>0</v>
      </c>
      <c r="DC41" s="211">
        <f t="shared" ca="1" si="46"/>
        <v>13884878.039999999</v>
      </c>
      <c r="DE41" s="4"/>
      <c r="DF41" s="4"/>
      <c r="DG41" s="4"/>
      <c r="DH41" s="4"/>
      <c r="DI41" s="4"/>
      <c r="DJ41" s="4"/>
      <c r="DK41" s="4">
        <f t="shared" ca="1" si="79"/>
        <v>176370.05</v>
      </c>
      <c r="DL41" s="4">
        <v>0</v>
      </c>
      <c r="DM41" s="4">
        <f t="shared" si="80"/>
        <v>0</v>
      </c>
      <c r="DN41" s="211">
        <f t="shared" si="81"/>
        <v>0</v>
      </c>
      <c r="DO41" s="218">
        <f t="shared" ca="1" si="82"/>
        <v>176370.05</v>
      </c>
      <c r="DP41" s="219">
        <f t="shared" ca="1" si="83"/>
        <v>14061248.09</v>
      </c>
      <c r="DQ41" s="8" t="s">
        <v>122</v>
      </c>
      <c r="EA41" s="1" t="s">
        <v>363</v>
      </c>
      <c r="EB41" s="10">
        <v>1328908.55</v>
      </c>
      <c r="EC41" s="223">
        <v>0</v>
      </c>
    </row>
    <row r="42" spans="1:133">
      <c r="A42" s="1">
        <v>1</v>
      </c>
      <c r="B42" s="1">
        <v>2</v>
      </c>
      <c r="C42" s="207">
        <v>3</v>
      </c>
      <c r="D42" s="207">
        <v>4</v>
      </c>
      <c r="E42" s="207">
        <v>5</v>
      </c>
      <c r="F42" s="207">
        <v>6</v>
      </c>
      <c r="G42" s="207">
        <v>7</v>
      </c>
      <c r="H42" s="207">
        <v>8</v>
      </c>
      <c r="I42" s="207">
        <v>9</v>
      </c>
      <c r="J42" s="207">
        <v>10</v>
      </c>
      <c r="K42" s="207">
        <v>11</v>
      </c>
      <c r="L42" s="207">
        <v>12</v>
      </c>
      <c r="M42" s="207">
        <v>13</v>
      </c>
      <c r="N42" s="207">
        <v>14</v>
      </c>
      <c r="O42" s="207">
        <v>15</v>
      </c>
      <c r="P42" s="207">
        <v>16</v>
      </c>
      <c r="Q42" s="207">
        <v>17</v>
      </c>
      <c r="R42" s="207">
        <v>18</v>
      </c>
      <c r="S42" s="207">
        <v>19</v>
      </c>
      <c r="T42" s="207">
        <v>20</v>
      </c>
      <c r="U42" s="207">
        <v>21</v>
      </c>
      <c r="V42" s="207">
        <v>22</v>
      </c>
      <c r="W42" s="207">
        <v>23</v>
      </c>
      <c r="X42" s="207">
        <v>24</v>
      </c>
      <c r="Y42" s="207">
        <v>25</v>
      </c>
      <c r="Z42" s="207">
        <v>26</v>
      </c>
      <c r="AA42" s="207">
        <v>27</v>
      </c>
      <c r="AB42" s="207">
        <v>28</v>
      </c>
      <c r="AC42" s="207">
        <v>29</v>
      </c>
      <c r="AD42" s="207">
        <v>30</v>
      </c>
      <c r="AE42" s="207">
        <v>31</v>
      </c>
      <c r="AF42" s="207">
        <v>32</v>
      </c>
      <c r="AG42" s="207">
        <v>33</v>
      </c>
      <c r="AH42" s="207">
        <v>34</v>
      </c>
      <c r="AI42" s="207">
        <v>35</v>
      </c>
      <c r="AJ42" s="207">
        <v>36</v>
      </c>
      <c r="AK42" s="207">
        <v>37</v>
      </c>
      <c r="AL42" s="207">
        <v>38</v>
      </c>
      <c r="AM42" s="207">
        <v>39</v>
      </c>
      <c r="AN42" s="207">
        <v>40</v>
      </c>
      <c r="AO42" s="207">
        <v>41</v>
      </c>
      <c r="AP42" s="207">
        <v>42</v>
      </c>
      <c r="AQ42" s="207">
        <v>43</v>
      </c>
      <c r="AR42" s="207">
        <v>44</v>
      </c>
      <c r="AS42" s="207">
        <v>45</v>
      </c>
      <c r="AT42" s="207">
        <v>46</v>
      </c>
      <c r="AU42" s="207">
        <v>47</v>
      </c>
      <c r="AV42" s="207">
        <v>48</v>
      </c>
      <c r="AW42" s="207">
        <v>49</v>
      </c>
      <c r="AX42" s="207">
        <v>50</v>
      </c>
      <c r="AY42" s="207">
        <v>51</v>
      </c>
      <c r="AZ42" s="207">
        <v>52</v>
      </c>
      <c r="BA42" s="207">
        <v>53</v>
      </c>
      <c r="BB42" s="207">
        <v>54</v>
      </c>
      <c r="BC42" s="207">
        <v>55</v>
      </c>
      <c r="BD42" s="207">
        <v>56</v>
      </c>
      <c r="BE42" s="207">
        <v>57</v>
      </c>
      <c r="BF42" s="207">
        <v>58</v>
      </c>
      <c r="BG42" s="207">
        <v>59</v>
      </c>
      <c r="BH42" s="207">
        <v>60</v>
      </c>
      <c r="BI42" s="207">
        <v>61</v>
      </c>
      <c r="BJ42" s="207">
        <v>62</v>
      </c>
      <c r="BK42" s="207">
        <v>63</v>
      </c>
      <c r="BL42" s="207">
        <v>64</v>
      </c>
      <c r="BM42" s="207">
        <v>65</v>
      </c>
      <c r="BN42" s="207">
        <v>66</v>
      </c>
      <c r="BO42" s="207">
        <v>67</v>
      </c>
      <c r="BP42" s="207">
        <v>68</v>
      </c>
      <c r="BQ42" s="207">
        <v>69</v>
      </c>
      <c r="BR42" s="207">
        <v>70</v>
      </c>
      <c r="BS42" s="207">
        <v>71</v>
      </c>
      <c r="BT42" s="207">
        <v>72</v>
      </c>
      <c r="BU42" s="207">
        <v>73</v>
      </c>
      <c r="BV42" s="207">
        <v>74</v>
      </c>
      <c r="BW42" s="207">
        <v>75</v>
      </c>
      <c r="BX42" s="207">
        <v>76</v>
      </c>
      <c r="BY42" s="207">
        <v>77</v>
      </c>
      <c r="BZ42" s="207">
        <v>78</v>
      </c>
      <c r="CA42" s="207">
        <v>79</v>
      </c>
      <c r="CB42" s="207">
        <v>80</v>
      </c>
      <c r="CC42" s="207">
        <v>81</v>
      </c>
      <c r="CD42" s="207">
        <v>82</v>
      </c>
      <c r="CE42" s="207">
        <v>83</v>
      </c>
      <c r="CF42" s="207">
        <v>84</v>
      </c>
      <c r="CG42" s="207">
        <v>85</v>
      </c>
      <c r="CH42" s="207">
        <v>86</v>
      </c>
      <c r="CI42" s="207">
        <v>87</v>
      </c>
      <c r="CJ42" s="207">
        <v>88</v>
      </c>
      <c r="CK42" s="207">
        <v>89</v>
      </c>
      <c r="CL42" s="207">
        <v>90</v>
      </c>
      <c r="CM42" s="207">
        <v>91</v>
      </c>
      <c r="CN42" s="207">
        <v>92</v>
      </c>
      <c r="CO42" s="207">
        <v>93</v>
      </c>
      <c r="CP42" s="207">
        <v>94</v>
      </c>
      <c r="CQ42" s="207">
        <v>95</v>
      </c>
      <c r="CR42" s="207">
        <v>96</v>
      </c>
      <c r="CS42" s="207">
        <v>97</v>
      </c>
      <c r="CT42" s="207">
        <v>98</v>
      </c>
      <c r="CU42" s="207">
        <v>99</v>
      </c>
      <c r="CV42" s="207">
        <v>100</v>
      </c>
      <c r="CW42" s="207">
        <v>101</v>
      </c>
      <c r="CX42" s="207">
        <v>102</v>
      </c>
      <c r="CY42" s="207">
        <v>103</v>
      </c>
      <c r="CZ42" s="207">
        <v>104</v>
      </c>
      <c r="DA42" s="207">
        <v>105</v>
      </c>
      <c r="DB42" s="207">
        <v>106</v>
      </c>
      <c r="DC42" s="207">
        <v>107</v>
      </c>
      <c r="DD42" s="207">
        <v>108</v>
      </c>
      <c r="DE42" s="207">
        <v>109</v>
      </c>
      <c r="DF42" s="207">
        <v>110</v>
      </c>
      <c r="DG42" s="207">
        <v>111</v>
      </c>
      <c r="DH42" s="207">
        <v>112</v>
      </c>
      <c r="DI42" s="207">
        <v>113</v>
      </c>
      <c r="DJ42" s="207">
        <v>114</v>
      </c>
      <c r="DK42" s="207">
        <v>115</v>
      </c>
      <c r="DL42" s="207">
        <v>116</v>
      </c>
      <c r="DM42" s="207">
        <v>117</v>
      </c>
      <c r="DN42" s="207">
        <v>118</v>
      </c>
      <c r="DO42" s="207">
        <v>119</v>
      </c>
      <c r="DP42" s="207">
        <v>120</v>
      </c>
      <c r="DQ42" s="207">
        <v>133</v>
      </c>
      <c r="DR42" s="207">
        <v>134</v>
      </c>
      <c r="DS42" s="207">
        <v>135</v>
      </c>
      <c r="DT42" s="207">
        <v>136</v>
      </c>
      <c r="DU42" s="207">
        <v>137</v>
      </c>
      <c r="DV42" s="1">
        <v>137</v>
      </c>
      <c r="DW42" s="1">
        <v>138</v>
      </c>
      <c r="DX42" s="1">
        <v>139</v>
      </c>
      <c r="DY42" s="1">
        <v>140</v>
      </c>
      <c r="DZ42" s="1">
        <v>141</v>
      </c>
      <c r="EA42" s="1">
        <v>142</v>
      </c>
    </row>
  </sheetData>
  <autoFilter ref="A9:EA42"/>
  <mergeCells count="124">
    <mergeCell ref="BQ5:BQ7"/>
    <mergeCell ref="CP4:CR4"/>
    <mergeCell ref="DP5:DP7"/>
    <mergeCell ref="DI5:DI7"/>
    <mergeCell ref="DL5:DL7"/>
    <mergeCell ref="DO5:DO7"/>
    <mergeCell ref="DM5:DM7"/>
    <mergeCell ref="DN5:DN7"/>
    <mergeCell ref="DJ5:DJ7"/>
    <mergeCell ref="CZ5:CZ7"/>
    <mergeCell ref="CP5:CP7"/>
    <mergeCell ref="DA5:DA7"/>
    <mergeCell ref="DH5:DH7"/>
    <mergeCell ref="DE5:DE7"/>
    <mergeCell ref="DB5:DB7"/>
    <mergeCell ref="CY5:CY7"/>
    <mergeCell ref="CU5:CU7"/>
    <mergeCell ref="CR5:CR7"/>
    <mergeCell ref="DK5:DK7"/>
    <mergeCell ref="DQ16:DT16"/>
    <mergeCell ref="AK5:AK7"/>
    <mergeCell ref="AQ5:AQ7"/>
    <mergeCell ref="CI5:CI7"/>
    <mergeCell ref="CJ5:CJ7"/>
    <mergeCell ref="CH5:CH7"/>
    <mergeCell ref="CG5:CG7"/>
    <mergeCell ref="CW5:CW7"/>
    <mergeCell ref="CS5:CS7"/>
    <mergeCell ref="DC5:DC7"/>
    <mergeCell ref="BT5:BT7"/>
    <mergeCell ref="BU5:BU7"/>
    <mergeCell ref="CQ5:CQ7"/>
    <mergeCell ref="CT5:CT7"/>
    <mergeCell ref="DG5:DG7"/>
    <mergeCell ref="AS5:AS7"/>
    <mergeCell ref="AT5:AT7"/>
    <mergeCell ref="BC5:BC7"/>
    <mergeCell ref="AV5:AV7"/>
    <mergeCell ref="BO5:BO7"/>
    <mergeCell ref="CK5:CK7"/>
    <mergeCell ref="CX5:CX7"/>
    <mergeCell ref="CV5:CV7"/>
    <mergeCell ref="DF5:DF7"/>
    <mergeCell ref="BM5:BM7"/>
    <mergeCell ref="BN5:BN7"/>
    <mergeCell ref="U5:U7"/>
    <mergeCell ref="N5:N7"/>
    <mergeCell ref="O5:O7"/>
    <mergeCell ref="P5:P7"/>
    <mergeCell ref="CM5:CM7"/>
    <mergeCell ref="BJ5:BJ7"/>
    <mergeCell ref="BK5:BK7"/>
    <mergeCell ref="BL5:BL7"/>
    <mergeCell ref="CB5:CB7"/>
    <mergeCell ref="BZ5:BZ7"/>
    <mergeCell ref="CA5:CA7"/>
    <mergeCell ref="BX5:BX7"/>
    <mergeCell ref="BY5:BY7"/>
    <mergeCell ref="CF5:CF7"/>
    <mergeCell ref="BP5:BP7"/>
    <mergeCell ref="CE5:CE7"/>
    <mergeCell ref="AM5:AM7"/>
    <mergeCell ref="AN5:AN7"/>
    <mergeCell ref="AO5:AO7"/>
    <mergeCell ref="BH5:BH7"/>
    <mergeCell ref="BI5:BI7"/>
    <mergeCell ref="CD5:CD7"/>
    <mergeCell ref="J5:J7"/>
    <mergeCell ref="K5:K7"/>
    <mergeCell ref="M5:M7"/>
    <mergeCell ref="L5:L7"/>
    <mergeCell ref="BD5:BD7"/>
    <mergeCell ref="BE5:BE7"/>
    <mergeCell ref="BF5:BF7"/>
    <mergeCell ref="BG5:BG7"/>
    <mergeCell ref="AX5:AX7"/>
    <mergeCell ref="AY5:AY7"/>
    <mergeCell ref="AZ5:AZ7"/>
    <mergeCell ref="BA5:BA7"/>
    <mergeCell ref="BB5:BB7"/>
    <mergeCell ref="AP5:AP7"/>
    <mergeCell ref="X5:X7"/>
    <mergeCell ref="Y5:Y7"/>
    <mergeCell ref="Z5:Z7"/>
    <mergeCell ref="AA5:AA7"/>
    <mergeCell ref="AB5:AB7"/>
    <mergeCell ref="AR5:AR7"/>
    <mergeCell ref="AG5:AG7"/>
    <mergeCell ref="AU5:AU7"/>
    <mergeCell ref="AW5:AW7"/>
    <mergeCell ref="AL5:AL7"/>
    <mergeCell ref="A5:A7"/>
    <mergeCell ref="B5:B7"/>
    <mergeCell ref="G5:G7"/>
    <mergeCell ref="H5:H7"/>
    <mergeCell ref="D5:D7"/>
    <mergeCell ref="C5:C7"/>
    <mergeCell ref="E5:E7"/>
    <mergeCell ref="F5:F7"/>
    <mergeCell ref="I5:I7"/>
    <mergeCell ref="U4:W4"/>
    <mergeCell ref="V5:V7"/>
    <mergeCell ref="W5:W7"/>
    <mergeCell ref="Q5:Q7"/>
    <mergeCell ref="CM4:CO4"/>
    <mergeCell ref="T5:T7"/>
    <mergeCell ref="R5:R7"/>
    <mergeCell ref="S5:S7"/>
    <mergeCell ref="AE5:AE7"/>
    <mergeCell ref="AB4:AD4"/>
    <mergeCell ref="AC5:AC7"/>
    <mergeCell ref="AD5:AD7"/>
    <mergeCell ref="BS5:BS7"/>
    <mergeCell ref="AF5:AF7"/>
    <mergeCell ref="AH5:AH7"/>
    <mergeCell ref="CC5:CC7"/>
    <mergeCell ref="AI5:AI7"/>
    <mergeCell ref="AJ5:AJ7"/>
    <mergeCell ref="CN5:CN7"/>
    <mergeCell ref="CO5:CO7"/>
    <mergeCell ref="CL5:CL7"/>
    <mergeCell ref="BV5:BV7"/>
    <mergeCell ref="BW5:BW7"/>
    <mergeCell ref="BR5:BR7"/>
  </mergeCells>
  <conditionalFormatting sqref="CM10:CO41 CO3 U15:W15 BV10:BW41 CH10:CJ41 DE10:DP41 AB10:AD41 AG10:BS41">
    <cfRule type="cellIs" dxfId="7" priority="30" operator="lessThan">
      <formula>0</formula>
    </cfRule>
  </conditionalFormatting>
  <conditionalFormatting sqref="CF10:CF41">
    <cfRule type="cellIs" dxfId="6" priority="5" operator="lessThan">
      <formula>0</formula>
    </cfRule>
  </conditionalFormatting>
  <conditionalFormatting sqref="CL10:CL41">
    <cfRule type="cellIs" dxfId="5" priority="4" operator="lessThan">
      <formula>0</formula>
    </cfRule>
  </conditionalFormatting>
  <conditionalFormatting sqref="CE10:CE41">
    <cfRule type="cellIs" dxfId="4" priority="2" operator="lessThan">
      <formula>0</formula>
    </cfRule>
  </conditionalFormatting>
  <conditionalFormatting sqref="DP4">
    <cfRule type="cellIs" dxfId="3" priority="1" operator="lessThan">
      <formula>0</formula>
    </cfRule>
  </conditionalFormatting>
  <pageMargins left="0.51181102362204722" right="0.31496062992125984" top="0.74803149606299213" bottom="0.74803149606299213" header="0.31496062992125984" footer="0.31496062992125984"/>
  <pageSetup paperSize="9" scale="10" orientation="portrait" r:id="rId1"/>
  <colBreaks count="1" manualBreakCount="1">
    <brk id="24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5"/>
  <sheetViews>
    <sheetView tabSelected="1" workbookViewId="0">
      <pane xSplit="2" ySplit="7" topLeftCell="C8" activePane="bottomRight" state="frozen"/>
      <selection activeCell="N16" sqref="N16:O16"/>
      <selection pane="topRight" activeCell="N16" sqref="N16:O16"/>
      <selection pane="bottomLeft" activeCell="N16" sqref="N16:O16"/>
      <selection pane="bottomRight" activeCell="C8" sqref="C8"/>
    </sheetView>
  </sheetViews>
  <sheetFormatPr defaultColWidth="8.88671875" defaultRowHeight="15.75"/>
  <cols>
    <col min="1" max="1" width="8.77734375" style="125" hidden="1" customWidth="1"/>
    <col min="2" max="2" width="22.21875" style="125" customWidth="1"/>
    <col min="3" max="3" width="6.33203125" style="125" customWidth="1"/>
    <col min="4" max="4" width="12.88671875" style="125" customWidth="1"/>
    <col min="5" max="6" width="8" style="125" customWidth="1"/>
    <col min="7" max="7" width="13.5546875" style="125" customWidth="1"/>
    <col min="8" max="8" width="16.77734375" style="125" customWidth="1"/>
    <col min="9" max="16384" width="8.88671875" style="125"/>
  </cols>
  <sheetData>
    <row r="1" spans="1:7" ht="18.75">
      <c r="B1" s="130" t="str">
        <f>VLOOKUP(G1,зпшк!A10:B41,2)</f>
        <v>МОУ Олуязская ср.шк.</v>
      </c>
      <c r="G1" s="126">
        <v>20</v>
      </c>
    </row>
    <row r="4" spans="1:7" ht="18.75" customHeight="1">
      <c r="B4" s="253" t="s">
        <v>162</v>
      </c>
      <c r="C4" s="253" t="s">
        <v>472</v>
      </c>
      <c r="D4" s="253" t="s">
        <v>473</v>
      </c>
      <c r="E4" s="253" t="s">
        <v>431</v>
      </c>
      <c r="F4" s="253" t="s">
        <v>432</v>
      </c>
      <c r="G4" s="253" t="s">
        <v>717</v>
      </c>
    </row>
    <row r="5" spans="1:7">
      <c r="B5" s="253"/>
      <c r="C5" s="253"/>
      <c r="D5" s="253"/>
      <c r="E5" s="253"/>
      <c r="F5" s="253"/>
      <c r="G5" s="253"/>
    </row>
    <row r="6" spans="1:7">
      <c r="B6" s="253"/>
      <c r="C6" s="253"/>
      <c r="D6" s="253"/>
      <c r="E6" s="253"/>
      <c r="F6" s="253"/>
      <c r="G6" s="253"/>
    </row>
    <row r="7" spans="1:7" ht="18.75">
      <c r="B7" s="254" t="s">
        <v>498</v>
      </c>
      <c r="C7" s="255"/>
      <c r="D7" s="255"/>
      <c r="E7" s="255"/>
      <c r="F7" s="255"/>
      <c r="G7" s="256"/>
    </row>
    <row r="8" spans="1:7">
      <c r="A8" s="125">
        <v>14</v>
      </c>
      <c r="B8" s="127" t="s">
        <v>474</v>
      </c>
      <c r="C8" s="124">
        <v>302</v>
      </c>
      <c r="D8" s="124" t="s">
        <v>712</v>
      </c>
      <c r="E8" s="124">
        <v>211004</v>
      </c>
      <c r="F8" s="128" t="s">
        <v>497</v>
      </c>
      <c r="G8" s="129">
        <f ca="1">VLOOKUP($G$1,зпшк!$A$10:$DP$41,A8)</f>
        <v>7342000</v>
      </c>
    </row>
    <row r="9" spans="1:7">
      <c r="A9" s="125">
        <v>15</v>
      </c>
      <c r="B9" s="127" t="s">
        <v>476</v>
      </c>
      <c r="C9" s="124">
        <v>302</v>
      </c>
      <c r="D9" s="124" t="s">
        <v>712</v>
      </c>
      <c r="E9" s="124">
        <v>213004</v>
      </c>
      <c r="F9" s="128" t="s">
        <v>497</v>
      </c>
      <c r="G9" s="129">
        <f ca="1">VLOOKUP($G$1,зпшк!$A$10:$DP$41,A9)</f>
        <v>2217145</v>
      </c>
    </row>
    <row r="10" spans="1:7">
      <c r="A10" s="125">
        <v>25</v>
      </c>
      <c r="B10" s="127" t="s">
        <v>474</v>
      </c>
      <c r="C10" s="124">
        <v>302</v>
      </c>
      <c r="D10" s="124" t="s">
        <v>711</v>
      </c>
      <c r="E10" s="124">
        <v>211004</v>
      </c>
      <c r="F10" s="128" t="s">
        <v>500</v>
      </c>
      <c r="G10" s="129">
        <f ca="1">VLOOKUP($G$1,зпшк!$A$10:$DP$41,A10)</f>
        <v>272000</v>
      </c>
    </row>
    <row r="11" spans="1:7">
      <c r="A11" s="125">
        <v>26</v>
      </c>
      <c r="B11" s="127" t="s">
        <v>476</v>
      </c>
      <c r="C11" s="124">
        <v>302</v>
      </c>
      <c r="D11" s="128" t="s">
        <v>711</v>
      </c>
      <c r="E11" s="124">
        <v>213004</v>
      </c>
      <c r="F11" s="128" t="s">
        <v>500</v>
      </c>
      <c r="G11" s="129">
        <f ca="1">VLOOKUP($G$1,зпшк!$A$10:$DP$41,A11)</f>
        <v>82585</v>
      </c>
    </row>
    <row r="12" spans="1:7">
      <c r="A12" s="125">
        <v>18</v>
      </c>
      <c r="B12" s="127" t="s">
        <v>474</v>
      </c>
      <c r="C12" s="124">
        <v>303</v>
      </c>
      <c r="D12" s="124" t="s">
        <v>711</v>
      </c>
      <c r="E12" s="124">
        <v>211004</v>
      </c>
      <c r="F12" s="128" t="s">
        <v>500</v>
      </c>
      <c r="G12" s="129">
        <f>VLOOKUP($G$1,зпшк!$A$10:$DP$41,A12)</f>
        <v>0</v>
      </c>
    </row>
    <row r="13" spans="1:7">
      <c r="A13" s="125">
        <v>19</v>
      </c>
      <c r="B13" s="127" t="s">
        <v>476</v>
      </c>
      <c r="C13" s="124">
        <v>303</v>
      </c>
      <c r="D13" s="128" t="s">
        <v>711</v>
      </c>
      <c r="E13" s="124">
        <v>213004</v>
      </c>
      <c r="F13" s="128" t="s">
        <v>500</v>
      </c>
      <c r="G13" s="129">
        <f>VLOOKUP($G$1,зпшк!$A$10:$DP$41,A13)</f>
        <v>0</v>
      </c>
    </row>
    <row r="14" spans="1:7">
      <c r="A14" s="125">
        <v>57</v>
      </c>
      <c r="B14" s="127" t="s">
        <v>134</v>
      </c>
      <c r="C14" s="124">
        <v>304</v>
      </c>
      <c r="D14" s="128" t="s">
        <v>711</v>
      </c>
      <c r="E14" s="124">
        <v>223001</v>
      </c>
      <c r="F14" s="128" t="s">
        <v>475</v>
      </c>
      <c r="G14" s="129">
        <f>VLOOKUP($G$1,зпшк!$A$10:$DP$41,A14)</f>
        <v>478500</v>
      </c>
    </row>
    <row r="15" spans="1:7">
      <c r="A15" s="125">
        <v>58</v>
      </c>
      <c r="B15" s="127" t="s">
        <v>133</v>
      </c>
      <c r="C15" s="124">
        <v>304</v>
      </c>
      <c r="D15" s="124" t="s">
        <v>711</v>
      </c>
      <c r="E15" s="124">
        <v>223002</v>
      </c>
      <c r="F15" s="128" t="s">
        <v>475</v>
      </c>
      <c r="G15" s="129">
        <f ca="1">VLOOKUP($G$1,зпшк!$A$10:$DP$41,A15)</f>
        <v>1166529.43</v>
      </c>
    </row>
    <row r="16" spans="1:7">
      <c r="A16" s="125">
        <v>59</v>
      </c>
      <c r="B16" s="127" t="s">
        <v>135</v>
      </c>
      <c r="C16" s="124">
        <v>304</v>
      </c>
      <c r="D16" s="128" t="s">
        <v>711</v>
      </c>
      <c r="E16" s="124">
        <v>223003</v>
      </c>
      <c r="F16" s="128" t="s">
        <v>475</v>
      </c>
      <c r="G16" s="129">
        <f>VLOOKUP($G$1,зпшк!$A$10:$DP$41,A16)</f>
        <v>86110.239999999991</v>
      </c>
    </row>
    <row r="17" spans="1:7">
      <c r="A17" s="125">
        <v>60</v>
      </c>
      <c r="B17" s="127" t="s">
        <v>478</v>
      </c>
      <c r="C17" s="124">
        <v>304</v>
      </c>
      <c r="D17" s="124" t="s">
        <v>711</v>
      </c>
      <c r="E17" s="124">
        <v>223004</v>
      </c>
      <c r="F17" s="128" t="s">
        <v>475</v>
      </c>
      <c r="G17" s="129">
        <f>VLOOKUP($G$1,зпшк!$A$10:$DP$41,A17)</f>
        <v>0</v>
      </c>
    </row>
    <row r="18" spans="1:7">
      <c r="A18" s="125">
        <v>61</v>
      </c>
      <c r="B18" s="127" t="s">
        <v>137</v>
      </c>
      <c r="C18" s="124">
        <v>304</v>
      </c>
      <c r="D18" s="128" t="s">
        <v>711</v>
      </c>
      <c r="E18" s="124">
        <v>223005</v>
      </c>
      <c r="F18" s="128" t="s">
        <v>475</v>
      </c>
      <c r="G18" s="129">
        <f>VLOOKUP($G$1,зпшк!$A$10:$DP$41,A18)</f>
        <v>0</v>
      </c>
    </row>
    <row r="19" spans="1:7" ht="30">
      <c r="A19" s="125">
        <v>62</v>
      </c>
      <c r="B19" s="127" t="s">
        <v>479</v>
      </c>
      <c r="C19" s="124">
        <v>304</v>
      </c>
      <c r="D19" s="124" t="s">
        <v>711</v>
      </c>
      <c r="E19" s="124">
        <v>223011</v>
      </c>
      <c r="F19" s="128" t="s">
        <v>475</v>
      </c>
      <c r="G19" s="129">
        <f>VLOOKUP($G$1,зпшк!$A$10:$DP$41,A19)</f>
        <v>0</v>
      </c>
    </row>
    <row r="20" spans="1:7">
      <c r="A20" s="125">
        <v>63</v>
      </c>
      <c r="B20" s="127" t="s">
        <v>480</v>
      </c>
      <c r="C20" s="124">
        <v>304</v>
      </c>
      <c r="D20" s="128" t="s">
        <v>711</v>
      </c>
      <c r="E20" s="124">
        <v>223012</v>
      </c>
      <c r="F20" s="128" t="s">
        <v>475</v>
      </c>
      <c r="G20" s="129">
        <f>VLOOKUP($G$1,зпшк!$A$10:$DP$41,A20)</f>
        <v>0</v>
      </c>
    </row>
    <row r="21" spans="1:7">
      <c r="A21" s="125">
        <v>64</v>
      </c>
      <c r="B21" s="127" t="s">
        <v>481</v>
      </c>
      <c r="C21" s="124">
        <v>304</v>
      </c>
      <c r="D21" s="124" t="s">
        <v>711</v>
      </c>
      <c r="E21" s="124">
        <v>223013</v>
      </c>
      <c r="F21" s="128" t="s">
        <v>475</v>
      </c>
      <c r="G21" s="129">
        <f>VLOOKUP($G$1,зпшк!$A$10:$DP$41,A21)</f>
        <v>0</v>
      </c>
    </row>
    <row r="22" spans="1:7">
      <c r="A22" s="125">
        <v>65</v>
      </c>
      <c r="B22" s="127" t="s">
        <v>482</v>
      </c>
      <c r="C22" s="124">
        <v>304</v>
      </c>
      <c r="D22" s="128" t="s">
        <v>711</v>
      </c>
      <c r="E22" s="124">
        <v>223014</v>
      </c>
      <c r="F22" s="128" t="s">
        <v>475</v>
      </c>
      <c r="G22" s="129">
        <f>VLOOKUP($G$1,зпшк!$A$10:$DP$41,A22)</f>
        <v>0</v>
      </c>
    </row>
    <row r="23" spans="1:7" ht="30">
      <c r="A23" s="125">
        <v>66</v>
      </c>
      <c r="B23" s="127" t="s">
        <v>483</v>
      </c>
      <c r="C23" s="124">
        <v>304</v>
      </c>
      <c r="D23" s="124" t="s">
        <v>711</v>
      </c>
      <c r="E23" s="124">
        <v>223015</v>
      </c>
      <c r="F23" s="128" t="s">
        <v>475</v>
      </c>
      <c r="G23" s="129">
        <f>VLOOKUP($G$1,зпшк!$A$10:$DP$41,A23)</f>
        <v>0</v>
      </c>
    </row>
    <row r="24" spans="1:7" ht="30">
      <c r="A24" s="125">
        <v>70</v>
      </c>
      <c r="B24" s="127" t="s">
        <v>501</v>
      </c>
      <c r="C24" s="124">
        <v>304</v>
      </c>
      <c r="D24" s="124" t="s">
        <v>711</v>
      </c>
      <c r="E24" s="124">
        <v>211004</v>
      </c>
      <c r="F24" s="128" t="s">
        <v>500</v>
      </c>
      <c r="G24" s="129">
        <f ca="1">VLOOKUP($G$1,зпшк!$A$10:$DP$41,A24)</f>
        <v>460100</v>
      </c>
    </row>
    <row r="25" spans="1:7" ht="30">
      <c r="A25" s="125">
        <v>71</v>
      </c>
      <c r="B25" s="127" t="s">
        <v>502</v>
      </c>
      <c r="C25" s="124">
        <v>304</v>
      </c>
      <c r="D25" s="128" t="s">
        <v>711</v>
      </c>
      <c r="E25" s="124">
        <v>213004</v>
      </c>
      <c r="F25" s="128" t="s">
        <v>500</v>
      </c>
      <c r="G25" s="129">
        <f ca="1">VLOOKUP($G$1,зпшк!$A$10:$DP$41,A25)</f>
        <v>138960.09999999998</v>
      </c>
    </row>
    <row r="26" spans="1:7" ht="45">
      <c r="A26" s="125">
        <v>87</v>
      </c>
      <c r="B26" s="127" t="s">
        <v>504</v>
      </c>
      <c r="C26" s="124">
        <v>304</v>
      </c>
      <c r="D26" s="124" t="s">
        <v>711</v>
      </c>
      <c r="E26" s="124">
        <v>211004</v>
      </c>
      <c r="F26" s="128" t="s">
        <v>500</v>
      </c>
      <c r="G26" s="129">
        <f ca="1">VLOOKUP($G$1,зпшк!$A$10:$DP$41,A26)</f>
        <v>739800</v>
      </c>
    </row>
    <row r="27" spans="1:7" ht="45">
      <c r="A27" s="125">
        <v>88</v>
      </c>
      <c r="B27" s="127" t="s">
        <v>505</v>
      </c>
      <c r="C27" s="124">
        <v>304</v>
      </c>
      <c r="D27" s="128" t="s">
        <v>711</v>
      </c>
      <c r="E27" s="124">
        <v>213004</v>
      </c>
      <c r="F27" s="128" t="s">
        <v>500</v>
      </c>
      <c r="G27" s="129">
        <f ca="1">VLOOKUP($G$1,зпшк!$A$10:$DP$41,A27)</f>
        <v>223410.21999999997</v>
      </c>
    </row>
    <row r="28" spans="1:7">
      <c r="A28" s="125">
        <v>73</v>
      </c>
      <c r="B28" s="127" t="s">
        <v>503</v>
      </c>
      <c r="C28" s="124">
        <v>304</v>
      </c>
      <c r="D28" s="124" t="s">
        <v>711</v>
      </c>
      <c r="E28" s="124">
        <v>340005</v>
      </c>
      <c r="F28" s="128" t="s">
        <v>475</v>
      </c>
      <c r="G28" s="129">
        <f ca="1">VLOOKUP($G$1,зпшк!$A$10:$DP$41,A28)</f>
        <v>34137.5</v>
      </c>
    </row>
    <row r="29" spans="1:7">
      <c r="A29" s="125">
        <v>76</v>
      </c>
      <c r="B29" s="127" t="s">
        <v>464</v>
      </c>
      <c r="C29" s="124">
        <v>304</v>
      </c>
      <c r="D29" s="128" t="s">
        <v>711</v>
      </c>
      <c r="E29" s="124">
        <v>226004</v>
      </c>
      <c r="F29" s="128" t="s">
        <v>475</v>
      </c>
      <c r="G29" s="129">
        <f>VLOOKUP($G$1,зпшк!$A$10:$DP$41,A29)</f>
        <v>13219.36</v>
      </c>
    </row>
    <row r="30" spans="1:7">
      <c r="A30" s="125">
        <v>77</v>
      </c>
      <c r="B30" s="127" t="s">
        <v>484</v>
      </c>
      <c r="C30" s="124">
        <v>304</v>
      </c>
      <c r="D30" s="124" t="s">
        <v>711</v>
      </c>
      <c r="E30" s="124">
        <v>225002</v>
      </c>
      <c r="F30" s="128" t="s">
        <v>475</v>
      </c>
      <c r="G30" s="129">
        <f>VLOOKUP($G$1,зпшк!$A$10:$DP$41,A30)</f>
        <v>0</v>
      </c>
    </row>
    <row r="31" spans="1:7">
      <c r="A31" s="125">
        <v>78</v>
      </c>
      <c r="B31" s="127" t="s">
        <v>466</v>
      </c>
      <c r="C31" s="124">
        <v>304</v>
      </c>
      <c r="D31" s="128" t="s">
        <v>711</v>
      </c>
      <c r="E31" s="124">
        <v>221001</v>
      </c>
      <c r="F31" s="128" t="s">
        <v>475</v>
      </c>
      <c r="G31" s="129">
        <f>VLOOKUP($G$1,зпшк!$A$10:$DP$41,A31)</f>
        <v>39506.400000000001</v>
      </c>
    </row>
    <row r="32" spans="1:7">
      <c r="A32" s="125">
        <v>79</v>
      </c>
      <c r="B32" s="127" t="s">
        <v>293</v>
      </c>
      <c r="C32" s="124">
        <v>304</v>
      </c>
      <c r="D32" s="124" t="s">
        <v>711</v>
      </c>
      <c r="E32" s="124">
        <v>225023</v>
      </c>
      <c r="F32" s="128" t="s">
        <v>475</v>
      </c>
      <c r="G32" s="129">
        <f>VLOOKUP($G$1,зпшк!$A$10:$DP$41,A32)</f>
        <v>6300</v>
      </c>
    </row>
    <row r="33" spans="1:8">
      <c r="A33" s="125">
        <v>80</v>
      </c>
      <c r="B33" s="127" t="s">
        <v>485</v>
      </c>
      <c r="C33" s="124">
        <v>304</v>
      </c>
      <c r="D33" s="128" t="s">
        <v>711</v>
      </c>
      <c r="E33" s="124">
        <v>226034</v>
      </c>
      <c r="F33" s="128" t="s">
        <v>475</v>
      </c>
      <c r="G33" s="129">
        <f>VLOOKUP($G$1,зпшк!$A$10:$DP$41,A33)</f>
        <v>33488</v>
      </c>
    </row>
    <row r="34" spans="1:8" ht="30">
      <c r="A34" s="125">
        <v>81</v>
      </c>
      <c r="B34" s="127" t="s">
        <v>486</v>
      </c>
      <c r="C34" s="124">
        <v>304</v>
      </c>
      <c r="D34" s="124" t="s">
        <v>711</v>
      </c>
      <c r="E34" s="124">
        <v>225001</v>
      </c>
      <c r="F34" s="128" t="s">
        <v>475</v>
      </c>
      <c r="G34" s="129">
        <f>VLOOKUP($G$1,зпшк!$A$10:$DP$41,A34)</f>
        <v>71844.72</v>
      </c>
    </row>
    <row r="35" spans="1:8">
      <c r="A35" s="125">
        <v>82</v>
      </c>
      <c r="B35" s="127" t="s">
        <v>713</v>
      </c>
      <c r="C35" s="212">
        <v>304</v>
      </c>
      <c r="D35" s="212" t="s">
        <v>711</v>
      </c>
      <c r="E35" s="212">
        <v>212099</v>
      </c>
      <c r="F35" s="128" t="s">
        <v>475</v>
      </c>
      <c r="G35" s="129">
        <f>VLOOKUP($G$1,зпшк!$A$10:$DP$41,A35)</f>
        <v>15000</v>
      </c>
    </row>
    <row r="36" spans="1:8">
      <c r="A36" s="125">
        <v>83</v>
      </c>
      <c r="B36" s="127" t="s">
        <v>463</v>
      </c>
      <c r="C36" s="124">
        <v>304</v>
      </c>
      <c r="D36" s="124" t="s">
        <v>711</v>
      </c>
      <c r="E36" s="124">
        <v>212099</v>
      </c>
      <c r="F36" s="128" t="s">
        <v>475</v>
      </c>
      <c r="G36" s="129">
        <f>VLOOKUP($G$1,зпшк!$A$10:$DP$41,A36)</f>
        <v>0</v>
      </c>
    </row>
    <row r="37" spans="1:8">
      <c r="A37" s="125">
        <v>85</v>
      </c>
      <c r="B37" s="127" t="s">
        <v>477</v>
      </c>
      <c r="C37" s="124">
        <v>304</v>
      </c>
      <c r="D37" s="128" t="s">
        <v>711</v>
      </c>
      <c r="E37" s="124">
        <v>226099</v>
      </c>
      <c r="F37" s="128" t="s">
        <v>475</v>
      </c>
      <c r="G37" s="129">
        <f>VLOOKUP($G$1,зпшк!$A$10:$DP$41,A37)</f>
        <v>7464.309999999823</v>
      </c>
    </row>
    <row r="38" spans="1:8" ht="30" customHeight="1">
      <c r="B38" s="257" t="s">
        <v>499</v>
      </c>
      <c r="C38" s="258"/>
      <c r="D38" s="258"/>
      <c r="E38" s="258"/>
      <c r="F38" s="259"/>
      <c r="G38" s="135">
        <f ca="1">SUM(G8:G37)</f>
        <v>13428100.280000001</v>
      </c>
      <c r="H38" s="134">
        <f ca="1">'форма 1'!C8-G38</f>
        <v>0</v>
      </c>
    </row>
    <row r="39" spans="1:8" ht="18.75">
      <c r="B39" s="260" t="s">
        <v>506</v>
      </c>
      <c r="C39" s="261"/>
      <c r="D39" s="261"/>
      <c r="E39" s="261"/>
      <c r="F39" s="261"/>
      <c r="G39" s="262"/>
    </row>
    <row r="40" spans="1:8">
      <c r="A40" s="125">
        <v>91</v>
      </c>
      <c r="B40" s="127" t="s">
        <v>474</v>
      </c>
      <c r="C40" s="124">
        <v>305</v>
      </c>
      <c r="D40" s="124" t="s">
        <v>711</v>
      </c>
      <c r="E40" s="124">
        <v>211004</v>
      </c>
      <c r="F40" s="128" t="s">
        <v>475</v>
      </c>
      <c r="G40" s="129">
        <f ca="1">VLOOKUP($G$1,зпшк!$A$10:$DP$41,A40)</f>
        <v>1452475.8399999999</v>
      </c>
    </row>
    <row r="41" spans="1:8">
      <c r="A41" s="125">
        <v>92</v>
      </c>
      <c r="B41" s="127" t="s">
        <v>476</v>
      </c>
      <c r="C41" s="124">
        <v>305</v>
      </c>
      <c r="D41" s="128" t="s">
        <v>711</v>
      </c>
      <c r="E41" s="124">
        <v>213004</v>
      </c>
      <c r="F41" s="128" t="s">
        <v>475</v>
      </c>
      <c r="G41" s="129">
        <f ca="1">VLOOKUP($G$1,зпшк!$A$10:$DP$41,A41)</f>
        <v>438345.18000000005</v>
      </c>
    </row>
    <row r="42" spans="1:8">
      <c r="A42" s="125">
        <v>45</v>
      </c>
      <c r="B42" s="127" t="s">
        <v>134</v>
      </c>
      <c r="C42" s="124">
        <v>308</v>
      </c>
      <c r="D42" s="124" t="s">
        <v>711</v>
      </c>
      <c r="E42" s="124">
        <v>223001</v>
      </c>
      <c r="F42" s="128" t="s">
        <v>475</v>
      </c>
      <c r="G42" s="129">
        <f>VLOOKUP($G$1,зпшк!$A$10:$DP$41,A42)</f>
        <v>0</v>
      </c>
    </row>
    <row r="43" spans="1:8">
      <c r="A43" s="125">
        <v>46</v>
      </c>
      <c r="B43" s="127" t="s">
        <v>133</v>
      </c>
      <c r="C43" s="124">
        <v>308</v>
      </c>
      <c r="D43" s="128" t="s">
        <v>711</v>
      </c>
      <c r="E43" s="124">
        <v>223002</v>
      </c>
      <c r="F43" s="128" t="s">
        <v>475</v>
      </c>
      <c r="G43" s="129">
        <f ca="1">VLOOKUP($G$1,зпшк!$A$10:$DP$41,A43)</f>
        <v>146810.74</v>
      </c>
    </row>
    <row r="44" spans="1:8">
      <c r="A44" s="125">
        <v>47</v>
      </c>
      <c r="B44" s="127" t="s">
        <v>135</v>
      </c>
      <c r="C44" s="124">
        <v>308</v>
      </c>
      <c r="D44" s="124" t="s">
        <v>711</v>
      </c>
      <c r="E44" s="124">
        <v>223003</v>
      </c>
      <c r="F44" s="128" t="s">
        <v>475</v>
      </c>
      <c r="G44" s="129">
        <f>VLOOKUP($G$1,зпшк!$A$10:$DP$41,A44)</f>
        <v>0</v>
      </c>
    </row>
    <row r="45" spans="1:8">
      <c r="A45" s="125">
        <v>48</v>
      </c>
      <c r="B45" s="127" t="s">
        <v>478</v>
      </c>
      <c r="C45" s="124">
        <v>308</v>
      </c>
      <c r="D45" s="128" t="s">
        <v>711</v>
      </c>
      <c r="E45" s="124">
        <v>223004</v>
      </c>
      <c r="F45" s="128" t="s">
        <v>475</v>
      </c>
      <c r="G45" s="129">
        <f>VLOOKUP($G$1,зпшк!$A$10:$DP$41,A45)</f>
        <v>0</v>
      </c>
    </row>
    <row r="46" spans="1:8">
      <c r="A46" s="125">
        <v>49</v>
      </c>
      <c r="B46" s="127" t="s">
        <v>137</v>
      </c>
      <c r="C46" s="124">
        <v>308</v>
      </c>
      <c r="D46" s="124" t="s">
        <v>711</v>
      </c>
      <c r="E46" s="124">
        <v>223005</v>
      </c>
      <c r="F46" s="128" t="s">
        <v>475</v>
      </c>
      <c r="G46" s="129">
        <f>VLOOKUP($G$1,зпшк!$A$10:$DP$41,A46)</f>
        <v>0</v>
      </c>
    </row>
    <row r="47" spans="1:8" ht="30">
      <c r="A47" s="125">
        <v>50</v>
      </c>
      <c r="B47" s="127" t="s">
        <v>479</v>
      </c>
      <c r="C47" s="124">
        <v>308</v>
      </c>
      <c r="D47" s="128" t="s">
        <v>711</v>
      </c>
      <c r="E47" s="124">
        <v>223011</v>
      </c>
      <c r="F47" s="128" t="s">
        <v>475</v>
      </c>
      <c r="G47" s="129">
        <f>VLOOKUP($G$1,зпшк!$A$10:$DP$41,A47)</f>
        <v>0</v>
      </c>
    </row>
    <row r="48" spans="1:8">
      <c r="A48" s="125">
        <v>51</v>
      </c>
      <c r="B48" s="127" t="s">
        <v>480</v>
      </c>
      <c r="C48" s="124">
        <v>308</v>
      </c>
      <c r="D48" s="124" t="s">
        <v>711</v>
      </c>
      <c r="E48" s="124">
        <v>223012</v>
      </c>
      <c r="F48" s="128" t="s">
        <v>475</v>
      </c>
      <c r="G48" s="129">
        <f>VLOOKUP($G$1,зпшк!$A$10:$DP$41,A48)</f>
        <v>0</v>
      </c>
    </row>
    <row r="49" spans="1:8">
      <c r="A49" s="125">
        <v>52</v>
      </c>
      <c r="B49" s="127" t="s">
        <v>481</v>
      </c>
      <c r="C49" s="124">
        <v>308</v>
      </c>
      <c r="D49" s="128" t="s">
        <v>711</v>
      </c>
      <c r="E49" s="124">
        <v>223013</v>
      </c>
      <c r="F49" s="128" t="s">
        <v>475</v>
      </c>
      <c r="G49" s="129">
        <f>VLOOKUP($G$1,зпшк!$A$10:$DP$41,A49)</f>
        <v>0</v>
      </c>
    </row>
    <row r="50" spans="1:8">
      <c r="A50" s="125">
        <v>53</v>
      </c>
      <c r="B50" s="127" t="s">
        <v>482</v>
      </c>
      <c r="C50" s="124">
        <v>308</v>
      </c>
      <c r="D50" s="124" t="s">
        <v>711</v>
      </c>
      <c r="E50" s="124">
        <v>223014</v>
      </c>
      <c r="F50" s="128" t="s">
        <v>475</v>
      </c>
      <c r="G50" s="129">
        <f>VLOOKUP($G$1,зпшк!$A$10:$DP$41,A50)</f>
        <v>0</v>
      </c>
    </row>
    <row r="51" spans="1:8" ht="30">
      <c r="A51" s="125">
        <v>54</v>
      </c>
      <c r="B51" s="127" t="s">
        <v>483</v>
      </c>
      <c r="C51" s="124">
        <v>308</v>
      </c>
      <c r="D51" s="128" t="s">
        <v>711</v>
      </c>
      <c r="E51" s="124">
        <v>223015</v>
      </c>
      <c r="F51" s="128" t="s">
        <v>475</v>
      </c>
      <c r="G51" s="129">
        <f>VLOOKUP($G$1,зпшк!$A$10:$DP$41,A51)</f>
        <v>0</v>
      </c>
    </row>
    <row r="52" spans="1:8">
      <c r="A52" s="125">
        <v>68</v>
      </c>
      <c r="B52" s="127" t="s">
        <v>487</v>
      </c>
      <c r="C52" s="124">
        <v>308</v>
      </c>
      <c r="D52" s="124" t="s">
        <v>711</v>
      </c>
      <c r="E52" s="124">
        <v>340007</v>
      </c>
      <c r="F52" s="128" t="s">
        <v>475</v>
      </c>
      <c r="G52" s="129">
        <f>VLOOKUP($G$1,зпшк!$A$10:$DP$41,A52)</f>
        <v>0</v>
      </c>
    </row>
    <row r="53" spans="1:8">
      <c r="A53" s="125">
        <v>69</v>
      </c>
      <c r="B53" s="127" t="s">
        <v>716</v>
      </c>
      <c r="C53" s="124">
        <v>308</v>
      </c>
      <c r="D53" s="128" t="s">
        <v>711</v>
      </c>
      <c r="E53" s="124">
        <v>340014</v>
      </c>
      <c r="F53" s="128" t="s">
        <v>475</v>
      </c>
      <c r="G53" s="129">
        <f>VLOOKUP($G$1,зпшк!$A$10:$DP$41,A53)</f>
        <v>0</v>
      </c>
    </row>
    <row r="54" spans="1:8" ht="30" customHeight="1">
      <c r="B54" s="263" t="s">
        <v>499</v>
      </c>
      <c r="C54" s="264"/>
      <c r="D54" s="264"/>
      <c r="E54" s="264"/>
      <c r="F54" s="265"/>
      <c r="G54" s="136">
        <f ca="1">SUM(G40:G53)</f>
        <v>2037631.76</v>
      </c>
      <c r="H54" s="134"/>
    </row>
    <row r="55" spans="1:8" ht="18.75">
      <c r="B55" s="266" t="s">
        <v>507</v>
      </c>
      <c r="C55" s="267"/>
      <c r="D55" s="267"/>
      <c r="E55" s="267"/>
      <c r="F55" s="268"/>
      <c r="G55" s="213">
        <f ca="1">G38+G54</f>
        <v>15465732.040000001</v>
      </c>
      <c r="H55" s="134">
        <f ca="1">SUMIF(зпшк!A10:A41,G1,зпшк!DP10:DP41)-G55</f>
        <v>0</v>
      </c>
    </row>
  </sheetData>
  <mergeCells count="11">
    <mergeCell ref="B7:G7"/>
    <mergeCell ref="B38:F38"/>
    <mergeCell ref="B39:G39"/>
    <mergeCell ref="B54:F54"/>
    <mergeCell ref="B55:F55"/>
    <mergeCell ref="G4:G6"/>
    <mergeCell ref="B4:B6"/>
    <mergeCell ref="C4:C6"/>
    <mergeCell ref="D4:D6"/>
    <mergeCell ref="E4:E6"/>
    <mergeCell ref="F4:F6"/>
  </mergeCells>
  <conditionalFormatting sqref="H38">
    <cfRule type="cellIs" dxfId="2" priority="2" operator="notEqual">
      <formula>0</formula>
    </cfRule>
  </conditionalFormatting>
  <conditionalFormatting sqref="H54:H55">
    <cfRule type="cellIs" dxfId="1" priority="1" operator="not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topLeftCell="B1" workbookViewId="0">
      <selection activeCell="C1" sqref="C1"/>
    </sheetView>
  </sheetViews>
  <sheetFormatPr defaultColWidth="8.88671875" defaultRowHeight="18.75"/>
  <cols>
    <col min="1" max="1" width="11.88671875" style="130" hidden="1" customWidth="1"/>
    <col min="2" max="2" width="41.5546875" style="130" customWidth="1"/>
    <col min="3" max="3" width="26.6640625" style="130" customWidth="1"/>
    <col min="4" max="4" width="14.109375" style="130" customWidth="1"/>
    <col min="5" max="16384" width="8.88671875" style="130"/>
  </cols>
  <sheetData>
    <row r="1" spans="1:4">
      <c r="B1" s="130" t="str">
        <f>VLOOKUP(C1,зпшк!A10:B41,2)</f>
        <v>МОУ Олуязская ср.шк.</v>
      </c>
      <c r="C1" s="131">
        <f>форма!G1</f>
        <v>20</v>
      </c>
    </row>
    <row r="4" spans="1:4" ht="18.75" customHeight="1">
      <c r="B4" s="269" t="s">
        <v>162</v>
      </c>
      <c r="C4" s="253" t="s">
        <v>714</v>
      </c>
    </row>
    <row r="5" spans="1:4">
      <c r="B5" s="269"/>
      <c r="C5" s="253"/>
    </row>
    <row r="6" spans="1:4">
      <c r="B6" s="269"/>
      <c r="C6" s="253"/>
    </row>
    <row r="7" spans="1:4">
      <c r="A7" s="130">
        <v>11</v>
      </c>
      <c r="B7" s="132" t="s">
        <v>715</v>
      </c>
      <c r="C7" s="133">
        <f>VLOOKUP($C$1,зпшк!$A$10:$DP$41,A7)</f>
        <v>13366821.34</v>
      </c>
    </row>
    <row r="8" spans="1:4">
      <c r="A8" s="130">
        <v>105</v>
      </c>
      <c r="B8" s="132" t="s">
        <v>488</v>
      </c>
      <c r="C8" s="133">
        <f ca="1">VLOOKUP($C$1,зпшк!$A$10:$DP$41,A8)</f>
        <v>13428100.279999999</v>
      </c>
      <c r="D8" s="134">
        <f ca="1">C8-C10-C11-C12-C13</f>
        <v>0</v>
      </c>
    </row>
    <row r="9" spans="1:4">
      <c r="B9" s="132" t="s">
        <v>489</v>
      </c>
      <c r="C9" s="133"/>
    </row>
    <row r="10" spans="1:4" ht="36">
      <c r="A10" s="130">
        <v>13</v>
      </c>
      <c r="B10" s="132" t="s">
        <v>493</v>
      </c>
      <c r="C10" s="133">
        <f ca="1">VLOOKUP($C$1,зпшк!$A$10:$DP$41,A10)</f>
        <v>9559145</v>
      </c>
    </row>
    <row r="11" spans="1:4" ht="36">
      <c r="A11" s="130">
        <v>24</v>
      </c>
      <c r="B11" s="132" t="s">
        <v>494</v>
      </c>
      <c r="C11" s="133">
        <f ca="1">VLOOKUP($C$1,зпшк!$A$10:$DP$41,A11)</f>
        <v>354585</v>
      </c>
    </row>
    <row r="12" spans="1:4" ht="36">
      <c r="A12" s="130">
        <v>17</v>
      </c>
      <c r="B12" s="132" t="s">
        <v>490</v>
      </c>
      <c r="C12" s="133">
        <f>VLOOKUP($C$1,зпшк!$A$10:$DP$41,A12)</f>
        <v>0</v>
      </c>
    </row>
    <row r="13" spans="1:4">
      <c r="A13" s="130">
        <v>31</v>
      </c>
      <c r="B13" s="132" t="s">
        <v>491</v>
      </c>
      <c r="C13" s="133">
        <f ca="1">VLOOKUP($C$1,зпшк!$A$10:$DP$41,A13)</f>
        <v>3514370.28</v>
      </c>
    </row>
    <row r="14" spans="1:4">
      <c r="B14" s="132" t="s">
        <v>265</v>
      </c>
      <c r="C14" s="133"/>
    </row>
    <row r="15" spans="1:4">
      <c r="A15" s="130">
        <v>72</v>
      </c>
      <c r="B15" s="132" t="s">
        <v>496</v>
      </c>
      <c r="C15" s="133">
        <f ca="1">VLOOKUP($C$1,зпшк!$A$10:$DP$41,A15)</f>
        <v>599060.1</v>
      </c>
    </row>
    <row r="16" spans="1:4" ht="36">
      <c r="A16" s="130">
        <v>89</v>
      </c>
      <c r="B16" s="132" t="s">
        <v>495</v>
      </c>
      <c r="C16" s="133">
        <f ca="1">VLOOKUP($C$1,зпшк!$A$10:$DP$41,A16)</f>
        <v>963210.22</v>
      </c>
    </row>
    <row r="17" spans="1:3">
      <c r="A17" s="130">
        <v>32</v>
      </c>
      <c r="B17" s="132" t="s">
        <v>492</v>
      </c>
      <c r="C17" s="133">
        <f ca="1">VLOOKUP($C$1,зпшк!$A$10:$DP$41,A17)</f>
        <v>1731139.67</v>
      </c>
    </row>
  </sheetData>
  <mergeCells count="2">
    <mergeCell ref="B4:B6"/>
    <mergeCell ref="C4:C6"/>
  </mergeCells>
  <conditionalFormatting sqref="D8">
    <cfRule type="cellIs" dxfId="0" priority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P83"/>
  <sheetViews>
    <sheetView showGridLines="0" topLeftCell="B1" workbookViewId="0">
      <pane xSplit="43" ySplit="10" topLeftCell="AS26" activePane="bottomRight" state="frozen"/>
      <selection activeCell="B1" sqref="B1"/>
      <selection pane="topRight" activeCell="AS1" sqref="AS1"/>
      <selection pane="bottomLeft" activeCell="B11" sqref="B11"/>
      <selection pane="bottomRight" activeCell="AW15" sqref="AW15"/>
    </sheetView>
  </sheetViews>
  <sheetFormatPr defaultRowHeight="12.75"/>
  <cols>
    <col min="1" max="1" width="4.5546875" style="138" customWidth="1"/>
    <col min="2" max="2" width="1" style="138" customWidth="1"/>
    <col min="3" max="3" width="3.5546875" style="138" customWidth="1"/>
    <col min="4" max="4" width="2" style="138" customWidth="1"/>
    <col min="5" max="5" width="0.21875" style="138" customWidth="1"/>
    <col min="6" max="6" width="2.33203125" style="138" customWidth="1"/>
    <col min="7" max="7" width="3" style="138" customWidth="1"/>
    <col min="8" max="8" width="1.5546875" style="138" customWidth="1"/>
    <col min="9" max="9" width="4" style="138" customWidth="1"/>
    <col min="10" max="10" width="0.5546875" style="138" customWidth="1"/>
    <col min="11" max="11" width="4.5546875" style="138" customWidth="1"/>
    <col min="12" max="12" width="0.44140625" style="138" customWidth="1"/>
    <col min="13" max="13" width="4.109375" style="138" customWidth="1"/>
    <col min="14" max="14" width="1.44140625" style="138" customWidth="1"/>
    <col min="15" max="15" width="3.109375" style="138" customWidth="1"/>
    <col min="16" max="16" width="2.44140625" style="138" customWidth="1"/>
    <col min="17" max="17" width="2.109375" style="138" customWidth="1"/>
    <col min="18" max="18" width="3.44140625" style="138" hidden="1" customWidth="1"/>
    <col min="19" max="19" width="1.109375" style="138" hidden="1" customWidth="1"/>
    <col min="20" max="20" width="4.44140625" style="138" hidden="1" customWidth="1"/>
    <col min="21" max="21" width="0.109375" style="138" hidden="1" customWidth="1"/>
    <col min="22" max="22" width="3.21875" style="138" hidden="1" customWidth="1"/>
    <col min="23" max="23" width="1.33203125" style="138" hidden="1" customWidth="1"/>
    <col min="24" max="24" width="0.88671875" style="138" hidden="1" customWidth="1"/>
    <col min="25" max="25" width="3.6640625" style="138" hidden="1" customWidth="1"/>
    <col min="26" max="26" width="1.88671875" style="138" hidden="1" customWidth="1"/>
    <col min="27" max="27" width="2.6640625" style="138" hidden="1" customWidth="1"/>
    <col min="28" max="28" width="2.88671875" style="138" hidden="1" customWidth="1"/>
    <col min="29" max="29" width="1.6640625" style="138" hidden="1" customWidth="1"/>
    <col min="30" max="30" width="3.88671875" style="138" hidden="1" customWidth="1"/>
    <col min="31" max="31" width="0.6640625" style="138" hidden="1" customWidth="1"/>
    <col min="32" max="32" width="4.5546875" style="138" hidden="1" customWidth="1"/>
    <col min="33" max="33" width="0.33203125" style="138" hidden="1" customWidth="1"/>
    <col min="34" max="34" width="4.21875" style="138" hidden="1" customWidth="1"/>
    <col min="35" max="35" width="1.33203125" style="138" hidden="1" customWidth="1"/>
    <col min="36" max="36" width="3.21875" style="138" hidden="1" customWidth="1"/>
    <col min="37" max="37" width="2.33203125" style="138" hidden="1" customWidth="1"/>
    <col min="38" max="38" width="2.21875" style="138" hidden="1" customWidth="1"/>
    <col min="39" max="39" width="3.33203125" style="138" hidden="1" customWidth="1"/>
    <col min="40" max="40" width="1.21875" style="138" hidden="1" customWidth="1"/>
    <col min="41" max="41" width="4.33203125" style="138" hidden="1" customWidth="1"/>
    <col min="42" max="42" width="0.21875" style="138" hidden="1" customWidth="1"/>
    <col min="43" max="43" width="4.5546875" style="138" hidden="1" customWidth="1"/>
    <col min="44" max="44" width="5.88671875" style="138" customWidth="1"/>
    <col min="45" max="46" width="11.109375" style="138" customWidth="1"/>
    <col min="47" max="47" width="0.21875" style="138" customWidth="1"/>
    <col min="48" max="48" width="10.88671875" style="138" customWidth="1"/>
    <col min="49" max="68" width="11.109375" style="138" customWidth="1"/>
    <col min="69" max="256" width="8.88671875" style="138"/>
    <col min="257" max="257" width="4.5546875" style="138" customWidth="1"/>
    <col min="258" max="258" width="1" style="138" customWidth="1"/>
    <col min="259" max="259" width="3.5546875" style="138" customWidth="1"/>
    <col min="260" max="260" width="2" style="138" customWidth="1"/>
    <col min="261" max="261" width="0.21875" style="138" customWidth="1"/>
    <col min="262" max="262" width="2.33203125" style="138" customWidth="1"/>
    <col min="263" max="263" width="3" style="138" customWidth="1"/>
    <col min="264" max="264" width="1.5546875" style="138" customWidth="1"/>
    <col min="265" max="265" width="4" style="138" customWidth="1"/>
    <col min="266" max="266" width="0.5546875" style="138" customWidth="1"/>
    <col min="267" max="267" width="4.5546875" style="138" customWidth="1"/>
    <col min="268" max="268" width="0.44140625" style="138" customWidth="1"/>
    <col min="269" max="269" width="4.109375" style="138" customWidth="1"/>
    <col min="270" max="270" width="1.44140625" style="138" customWidth="1"/>
    <col min="271" max="271" width="3.109375" style="138" customWidth="1"/>
    <col min="272" max="272" width="2.44140625" style="138" customWidth="1"/>
    <col min="273" max="273" width="2.109375" style="138" customWidth="1"/>
    <col min="274" max="274" width="3.44140625" style="138" customWidth="1"/>
    <col min="275" max="275" width="1.109375" style="138" customWidth="1"/>
    <col min="276" max="276" width="4.44140625" style="138" customWidth="1"/>
    <col min="277" max="277" width="0.109375" style="138" customWidth="1"/>
    <col min="278" max="278" width="3.21875" style="138" customWidth="1"/>
    <col min="279" max="279" width="1.33203125" style="138" customWidth="1"/>
    <col min="280" max="280" width="0.88671875" style="138" customWidth="1"/>
    <col min="281" max="281" width="3.6640625" style="138" customWidth="1"/>
    <col min="282" max="282" width="1.88671875" style="138" customWidth="1"/>
    <col min="283" max="283" width="2.6640625" style="138" customWidth="1"/>
    <col min="284" max="284" width="2.88671875" style="138" customWidth="1"/>
    <col min="285" max="285" width="1.6640625" style="138" customWidth="1"/>
    <col min="286" max="286" width="3.88671875" style="138" customWidth="1"/>
    <col min="287" max="287" width="0.6640625" style="138" customWidth="1"/>
    <col min="288" max="288" width="4.5546875" style="138" customWidth="1"/>
    <col min="289" max="289" width="0.33203125" style="138" customWidth="1"/>
    <col min="290" max="290" width="4.21875" style="138" customWidth="1"/>
    <col min="291" max="291" width="1.33203125" style="138" customWidth="1"/>
    <col min="292" max="292" width="3.21875" style="138" customWidth="1"/>
    <col min="293" max="293" width="2.33203125" style="138" customWidth="1"/>
    <col min="294" max="294" width="2.21875" style="138" customWidth="1"/>
    <col min="295" max="295" width="3.33203125" style="138" customWidth="1"/>
    <col min="296" max="296" width="1.21875" style="138" customWidth="1"/>
    <col min="297" max="297" width="4.33203125" style="138" customWidth="1"/>
    <col min="298" max="298" width="0.21875" style="138" customWidth="1"/>
    <col min="299" max="299" width="4.5546875" style="138" customWidth="1"/>
    <col min="300" max="300" width="0.77734375" style="138" customWidth="1"/>
    <col min="301" max="302" width="11.109375" style="138" customWidth="1"/>
    <col min="303" max="303" width="0.21875" style="138" customWidth="1"/>
    <col min="304" max="304" width="10.88671875" style="138" customWidth="1"/>
    <col min="305" max="324" width="11.109375" style="138" customWidth="1"/>
    <col min="325" max="512" width="8.88671875" style="138"/>
    <col min="513" max="513" width="4.5546875" style="138" customWidth="1"/>
    <col min="514" max="514" width="1" style="138" customWidth="1"/>
    <col min="515" max="515" width="3.5546875" style="138" customWidth="1"/>
    <col min="516" max="516" width="2" style="138" customWidth="1"/>
    <col min="517" max="517" width="0.21875" style="138" customWidth="1"/>
    <col min="518" max="518" width="2.33203125" style="138" customWidth="1"/>
    <col min="519" max="519" width="3" style="138" customWidth="1"/>
    <col min="520" max="520" width="1.5546875" style="138" customWidth="1"/>
    <col min="521" max="521" width="4" style="138" customWidth="1"/>
    <col min="522" max="522" width="0.5546875" style="138" customWidth="1"/>
    <col min="523" max="523" width="4.5546875" style="138" customWidth="1"/>
    <col min="524" max="524" width="0.44140625" style="138" customWidth="1"/>
    <col min="525" max="525" width="4.109375" style="138" customWidth="1"/>
    <col min="526" max="526" width="1.44140625" style="138" customWidth="1"/>
    <col min="527" max="527" width="3.109375" style="138" customWidth="1"/>
    <col min="528" max="528" width="2.44140625" style="138" customWidth="1"/>
    <col min="529" max="529" width="2.109375" style="138" customWidth="1"/>
    <col min="530" max="530" width="3.44140625" style="138" customWidth="1"/>
    <col min="531" max="531" width="1.109375" style="138" customWidth="1"/>
    <col min="532" max="532" width="4.44140625" style="138" customWidth="1"/>
    <col min="533" max="533" width="0.109375" style="138" customWidth="1"/>
    <col min="534" max="534" width="3.21875" style="138" customWidth="1"/>
    <col min="535" max="535" width="1.33203125" style="138" customWidth="1"/>
    <col min="536" max="536" width="0.88671875" style="138" customWidth="1"/>
    <col min="537" max="537" width="3.6640625" style="138" customWidth="1"/>
    <col min="538" max="538" width="1.88671875" style="138" customWidth="1"/>
    <col min="539" max="539" width="2.6640625" style="138" customWidth="1"/>
    <col min="540" max="540" width="2.88671875" style="138" customWidth="1"/>
    <col min="541" max="541" width="1.6640625" style="138" customWidth="1"/>
    <col min="542" max="542" width="3.88671875" style="138" customWidth="1"/>
    <col min="543" max="543" width="0.6640625" style="138" customWidth="1"/>
    <col min="544" max="544" width="4.5546875" style="138" customWidth="1"/>
    <col min="545" max="545" width="0.33203125" style="138" customWidth="1"/>
    <col min="546" max="546" width="4.21875" style="138" customWidth="1"/>
    <col min="547" max="547" width="1.33203125" style="138" customWidth="1"/>
    <col min="548" max="548" width="3.21875" style="138" customWidth="1"/>
    <col min="549" max="549" width="2.33203125" style="138" customWidth="1"/>
    <col min="550" max="550" width="2.21875" style="138" customWidth="1"/>
    <col min="551" max="551" width="3.33203125" style="138" customWidth="1"/>
    <col min="552" max="552" width="1.21875" style="138" customWidth="1"/>
    <col min="553" max="553" width="4.33203125" style="138" customWidth="1"/>
    <col min="554" max="554" width="0.21875" style="138" customWidth="1"/>
    <col min="555" max="555" width="4.5546875" style="138" customWidth="1"/>
    <col min="556" max="556" width="0.77734375" style="138" customWidth="1"/>
    <col min="557" max="558" width="11.109375" style="138" customWidth="1"/>
    <col min="559" max="559" width="0.21875" style="138" customWidth="1"/>
    <col min="560" max="560" width="10.88671875" style="138" customWidth="1"/>
    <col min="561" max="580" width="11.109375" style="138" customWidth="1"/>
    <col min="581" max="768" width="8.88671875" style="138"/>
    <col min="769" max="769" width="4.5546875" style="138" customWidth="1"/>
    <col min="770" max="770" width="1" style="138" customWidth="1"/>
    <col min="771" max="771" width="3.5546875" style="138" customWidth="1"/>
    <col min="772" max="772" width="2" style="138" customWidth="1"/>
    <col min="773" max="773" width="0.21875" style="138" customWidth="1"/>
    <col min="774" max="774" width="2.33203125" style="138" customWidth="1"/>
    <col min="775" max="775" width="3" style="138" customWidth="1"/>
    <col min="776" max="776" width="1.5546875" style="138" customWidth="1"/>
    <col min="777" max="777" width="4" style="138" customWidth="1"/>
    <col min="778" max="778" width="0.5546875" style="138" customWidth="1"/>
    <col min="779" max="779" width="4.5546875" style="138" customWidth="1"/>
    <col min="780" max="780" width="0.44140625" style="138" customWidth="1"/>
    <col min="781" max="781" width="4.109375" style="138" customWidth="1"/>
    <col min="782" max="782" width="1.44140625" style="138" customWidth="1"/>
    <col min="783" max="783" width="3.109375" style="138" customWidth="1"/>
    <col min="784" max="784" width="2.44140625" style="138" customWidth="1"/>
    <col min="785" max="785" width="2.109375" style="138" customWidth="1"/>
    <col min="786" max="786" width="3.44140625" style="138" customWidth="1"/>
    <col min="787" max="787" width="1.109375" style="138" customWidth="1"/>
    <col min="788" max="788" width="4.44140625" style="138" customWidth="1"/>
    <col min="789" max="789" width="0.109375" style="138" customWidth="1"/>
    <col min="790" max="790" width="3.21875" style="138" customWidth="1"/>
    <col min="791" max="791" width="1.33203125" style="138" customWidth="1"/>
    <col min="792" max="792" width="0.88671875" style="138" customWidth="1"/>
    <col min="793" max="793" width="3.6640625" style="138" customWidth="1"/>
    <col min="794" max="794" width="1.88671875" style="138" customWidth="1"/>
    <col min="795" max="795" width="2.6640625" style="138" customWidth="1"/>
    <col min="796" max="796" width="2.88671875" style="138" customWidth="1"/>
    <col min="797" max="797" width="1.6640625" style="138" customWidth="1"/>
    <col min="798" max="798" width="3.88671875" style="138" customWidth="1"/>
    <col min="799" max="799" width="0.6640625" style="138" customWidth="1"/>
    <col min="800" max="800" width="4.5546875" style="138" customWidth="1"/>
    <col min="801" max="801" width="0.33203125" style="138" customWidth="1"/>
    <col min="802" max="802" width="4.21875" style="138" customWidth="1"/>
    <col min="803" max="803" width="1.33203125" style="138" customWidth="1"/>
    <col min="804" max="804" width="3.21875" style="138" customWidth="1"/>
    <col min="805" max="805" width="2.33203125" style="138" customWidth="1"/>
    <col min="806" max="806" width="2.21875" style="138" customWidth="1"/>
    <col min="807" max="807" width="3.33203125" style="138" customWidth="1"/>
    <col min="808" max="808" width="1.21875" style="138" customWidth="1"/>
    <col min="809" max="809" width="4.33203125" style="138" customWidth="1"/>
    <col min="810" max="810" width="0.21875" style="138" customWidth="1"/>
    <col min="811" max="811" width="4.5546875" style="138" customWidth="1"/>
    <col min="812" max="812" width="0.77734375" style="138" customWidth="1"/>
    <col min="813" max="814" width="11.109375" style="138" customWidth="1"/>
    <col min="815" max="815" width="0.21875" style="138" customWidth="1"/>
    <col min="816" max="816" width="10.88671875" style="138" customWidth="1"/>
    <col min="817" max="836" width="11.109375" style="138" customWidth="1"/>
    <col min="837" max="1024" width="8.88671875" style="138"/>
    <col min="1025" max="1025" width="4.5546875" style="138" customWidth="1"/>
    <col min="1026" max="1026" width="1" style="138" customWidth="1"/>
    <col min="1027" max="1027" width="3.5546875" style="138" customWidth="1"/>
    <col min="1028" max="1028" width="2" style="138" customWidth="1"/>
    <col min="1029" max="1029" width="0.21875" style="138" customWidth="1"/>
    <col min="1030" max="1030" width="2.33203125" style="138" customWidth="1"/>
    <col min="1031" max="1031" width="3" style="138" customWidth="1"/>
    <col min="1032" max="1032" width="1.5546875" style="138" customWidth="1"/>
    <col min="1033" max="1033" width="4" style="138" customWidth="1"/>
    <col min="1034" max="1034" width="0.5546875" style="138" customWidth="1"/>
    <col min="1035" max="1035" width="4.5546875" style="138" customWidth="1"/>
    <col min="1036" max="1036" width="0.44140625" style="138" customWidth="1"/>
    <col min="1037" max="1037" width="4.109375" style="138" customWidth="1"/>
    <col min="1038" max="1038" width="1.44140625" style="138" customWidth="1"/>
    <col min="1039" max="1039" width="3.109375" style="138" customWidth="1"/>
    <col min="1040" max="1040" width="2.44140625" style="138" customWidth="1"/>
    <col min="1041" max="1041" width="2.109375" style="138" customWidth="1"/>
    <col min="1042" max="1042" width="3.44140625" style="138" customWidth="1"/>
    <col min="1043" max="1043" width="1.109375" style="138" customWidth="1"/>
    <col min="1044" max="1044" width="4.44140625" style="138" customWidth="1"/>
    <col min="1045" max="1045" width="0.109375" style="138" customWidth="1"/>
    <col min="1046" max="1046" width="3.21875" style="138" customWidth="1"/>
    <col min="1047" max="1047" width="1.33203125" style="138" customWidth="1"/>
    <col min="1048" max="1048" width="0.88671875" style="138" customWidth="1"/>
    <col min="1049" max="1049" width="3.6640625" style="138" customWidth="1"/>
    <col min="1050" max="1050" width="1.88671875" style="138" customWidth="1"/>
    <col min="1051" max="1051" width="2.6640625" style="138" customWidth="1"/>
    <col min="1052" max="1052" width="2.88671875" style="138" customWidth="1"/>
    <col min="1053" max="1053" width="1.6640625" style="138" customWidth="1"/>
    <col min="1054" max="1054" width="3.88671875" style="138" customWidth="1"/>
    <col min="1055" max="1055" width="0.6640625" style="138" customWidth="1"/>
    <col min="1056" max="1056" width="4.5546875" style="138" customWidth="1"/>
    <col min="1057" max="1057" width="0.33203125" style="138" customWidth="1"/>
    <col min="1058" max="1058" width="4.21875" style="138" customWidth="1"/>
    <col min="1059" max="1059" width="1.33203125" style="138" customWidth="1"/>
    <col min="1060" max="1060" width="3.21875" style="138" customWidth="1"/>
    <col min="1061" max="1061" width="2.33203125" style="138" customWidth="1"/>
    <col min="1062" max="1062" width="2.21875" style="138" customWidth="1"/>
    <col min="1063" max="1063" width="3.33203125" style="138" customWidth="1"/>
    <col min="1064" max="1064" width="1.21875" style="138" customWidth="1"/>
    <col min="1065" max="1065" width="4.33203125" style="138" customWidth="1"/>
    <col min="1066" max="1066" width="0.21875" style="138" customWidth="1"/>
    <col min="1067" max="1067" width="4.5546875" style="138" customWidth="1"/>
    <col min="1068" max="1068" width="0.77734375" style="138" customWidth="1"/>
    <col min="1069" max="1070" width="11.109375" style="138" customWidth="1"/>
    <col min="1071" max="1071" width="0.21875" style="138" customWidth="1"/>
    <col min="1072" max="1072" width="10.88671875" style="138" customWidth="1"/>
    <col min="1073" max="1092" width="11.109375" style="138" customWidth="1"/>
    <col min="1093" max="1280" width="8.88671875" style="138"/>
    <col min="1281" max="1281" width="4.5546875" style="138" customWidth="1"/>
    <col min="1282" max="1282" width="1" style="138" customWidth="1"/>
    <col min="1283" max="1283" width="3.5546875" style="138" customWidth="1"/>
    <col min="1284" max="1284" width="2" style="138" customWidth="1"/>
    <col min="1285" max="1285" width="0.21875" style="138" customWidth="1"/>
    <col min="1286" max="1286" width="2.33203125" style="138" customWidth="1"/>
    <col min="1287" max="1287" width="3" style="138" customWidth="1"/>
    <col min="1288" max="1288" width="1.5546875" style="138" customWidth="1"/>
    <col min="1289" max="1289" width="4" style="138" customWidth="1"/>
    <col min="1290" max="1290" width="0.5546875" style="138" customWidth="1"/>
    <col min="1291" max="1291" width="4.5546875" style="138" customWidth="1"/>
    <col min="1292" max="1292" width="0.44140625" style="138" customWidth="1"/>
    <col min="1293" max="1293" width="4.109375" style="138" customWidth="1"/>
    <col min="1294" max="1294" width="1.44140625" style="138" customWidth="1"/>
    <col min="1295" max="1295" width="3.109375" style="138" customWidth="1"/>
    <col min="1296" max="1296" width="2.44140625" style="138" customWidth="1"/>
    <col min="1297" max="1297" width="2.109375" style="138" customWidth="1"/>
    <col min="1298" max="1298" width="3.44140625" style="138" customWidth="1"/>
    <col min="1299" max="1299" width="1.109375" style="138" customWidth="1"/>
    <col min="1300" max="1300" width="4.44140625" style="138" customWidth="1"/>
    <col min="1301" max="1301" width="0.109375" style="138" customWidth="1"/>
    <col min="1302" max="1302" width="3.21875" style="138" customWidth="1"/>
    <col min="1303" max="1303" width="1.33203125" style="138" customWidth="1"/>
    <col min="1304" max="1304" width="0.88671875" style="138" customWidth="1"/>
    <col min="1305" max="1305" width="3.6640625" style="138" customWidth="1"/>
    <col min="1306" max="1306" width="1.88671875" style="138" customWidth="1"/>
    <col min="1307" max="1307" width="2.6640625" style="138" customWidth="1"/>
    <col min="1308" max="1308" width="2.88671875" style="138" customWidth="1"/>
    <col min="1309" max="1309" width="1.6640625" style="138" customWidth="1"/>
    <col min="1310" max="1310" width="3.88671875" style="138" customWidth="1"/>
    <col min="1311" max="1311" width="0.6640625" style="138" customWidth="1"/>
    <col min="1312" max="1312" width="4.5546875" style="138" customWidth="1"/>
    <col min="1313" max="1313" width="0.33203125" style="138" customWidth="1"/>
    <col min="1314" max="1314" width="4.21875" style="138" customWidth="1"/>
    <col min="1315" max="1315" width="1.33203125" style="138" customWidth="1"/>
    <col min="1316" max="1316" width="3.21875" style="138" customWidth="1"/>
    <col min="1317" max="1317" width="2.33203125" style="138" customWidth="1"/>
    <col min="1318" max="1318" width="2.21875" style="138" customWidth="1"/>
    <col min="1319" max="1319" width="3.33203125" style="138" customWidth="1"/>
    <col min="1320" max="1320" width="1.21875" style="138" customWidth="1"/>
    <col min="1321" max="1321" width="4.33203125" style="138" customWidth="1"/>
    <col min="1322" max="1322" width="0.21875" style="138" customWidth="1"/>
    <col min="1323" max="1323" width="4.5546875" style="138" customWidth="1"/>
    <col min="1324" max="1324" width="0.77734375" style="138" customWidth="1"/>
    <col min="1325" max="1326" width="11.109375" style="138" customWidth="1"/>
    <col min="1327" max="1327" width="0.21875" style="138" customWidth="1"/>
    <col min="1328" max="1328" width="10.88671875" style="138" customWidth="1"/>
    <col min="1329" max="1348" width="11.109375" style="138" customWidth="1"/>
    <col min="1349" max="1536" width="8.88671875" style="138"/>
    <col min="1537" max="1537" width="4.5546875" style="138" customWidth="1"/>
    <col min="1538" max="1538" width="1" style="138" customWidth="1"/>
    <col min="1539" max="1539" width="3.5546875" style="138" customWidth="1"/>
    <col min="1540" max="1540" width="2" style="138" customWidth="1"/>
    <col min="1541" max="1541" width="0.21875" style="138" customWidth="1"/>
    <col min="1542" max="1542" width="2.33203125" style="138" customWidth="1"/>
    <col min="1543" max="1543" width="3" style="138" customWidth="1"/>
    <col min="1544" max="1544" width="1.5546875" style="138" customWidth="1"/>
    <col min="1545" max="1545" width="4" style="138" customWidth="1"/>
    <col min="1546" max="1546" width="0.5546875" style="138" customWidth="1"/>
    <col min="1547" max="1547" width="4.5546875" style="138" customWidth="1"/>
    <col min="1548" max="1548" width="0.44140625" style="138" customWidth="1"/>
    <col min="1549" max="1549" width="4.109375" style="138" customWidth="1"/>
    <col min="1550" max="1550" width="1.44140625" style="138" customWidth="1"/>
    <col min="1551" max="1551" width="3.109375" style="138" customWidth="1"/>
    <col min="1552" max="1552" width="2.44140625" style="138" customWidth="1"/>
    <col min="1553" max="1553" width="2.109375" style="138" customWidth="1"/>
    <col min="1554" max="1554" width="3.44140625" style="138" customWidth="1"/>
    <col min="1555" max="1555" width="1.109375" style="138" customWidth="1"/>
    <col min="1556" max="1556" width="4.44140625" style="138" customWidth="1"/>
    <col min="1557" max="1557" width="0.109375" style="138" customWidth="1"/>
    <col min="1558" max="1558" width="3.21875" style="138" customWidth="1"/>
    <col min="1559" max="1559" width="1.33203125" style="138" customWidth="1"/>
    <col min="1560" max="1560" width="0.88671875" style="138" customWidth="1"/>
    <col min="1561" max="1561" width="3.6640625" style="138" customWidth="1"/>
    <col min="1562" max="1562" width="1.88671875" style="138" customWidth="1"/>
    <col min="1563" max="1563" width="2.6640625" style="138" customWidth="1"/>
    <col min="1564" max="1564" width="2.88671875" style="138" customWidth="1"/>
    <col min="1565" max="1565" width="1.6640625" style="138" customWidth="1"/>
    <col min="1566" max="1566" width="3.88671875" style="138" customWidth="1"/>
    <col min="1567" max="1567" width="0.6640625" style="138" customWidth="1"/>
    <col min="1568" max="1568" width="4.5546875" style="138" customWidth="1"/>
    <col min="1569" max="1569" width="0.33203125" style="138" customWidth="1"/>
    <col min="1570" max="1570" width="4.21875" style="138" customWidth="1"/>
    <col min="1571" max="1571" width="1.33203125" style="138" customWidth="1"/>
    <col min="1572" max="1572" width="3.21875" style="138" customWidth="1"/>
    <col min="1573" max="1573" width="2.33203125" style="138" customWidth="1"/>
    <col min="1574" max="1574" width="2.21875" style="138" customWidth="1"/>
    <col min="1575" max="1575" width="3.33203125" style="138" customWidth="1"/>
    <col min="1576" max="1576" width="1.21875" style="138" customWidth="1"/>
    <col min="1577" max="1577" width="4.33203125" style="138" customWidth="1"/>
    <col min="1578" max="1578" width="0.21875" style="138" customWidth="1"/>
    <col min="1579" max="1579" width="4.5546875" style="138" customWidth="1"/>
    <col min="1580" max="1580" width="0.77734375" style="138" customWidth="1"/>
    <col min="1581" max="1582" width="11.109375" style="138" customWidth="1"/>
    <col min="1583" max="1583" width="0.21875" style="138" customWidth="1"/>
    <col min="1584" max="1584" width="10.88671875" style="138" customWidth="1"/>
    <col min="1585" max="1604" width="11.109375" style="138" customWidth="1"/>
    <col min="1605" max="1792" width="8.88671875" style="138"/>
    <col min="1793" max="1793" width="4.5546875" style="138" customWidth="1"/>
    <col min="1794" max="1794" width="1" style="138" customWidth="1"/>
    <col min="1795" max="1795" width="3.5546875" style="138" customWidth="1"/>
    <col min="1796" max="1796" width="2" style="138" customWidth="1"/>
    <col min="1797" max="1797" width="0.21875" style="138" customWidth="1"/>
    <col min="1798" max="1798" width="2.33203125" style="138" customWidth="1"/>
    <col min="1799" max="1799" width="3" style="138" customWidth="1"/>
    <col min="1800" max="1800" width="1.5546875" style="138" customWidth="1"/>
    <col min="1801" max="1801" width="4" style="138" customWidth="1"/>
    <col min="1802" max="1802" width="0.5546875" style="138" customWidth="1"/>
    <col min="1803" max="1803" width="4.5546875" style="138" customWidth="1"/>
    <col min="1804" max="1804" width="0.44140625" style="138" customWidth="1"/>
    <col min="1805" max="1805" width="4.109375" style="138" customWidth="1"/>
    <col min="1806" max="1806" width="1.44140625" style="138" customWidth="1"/>
    <col min="1807" max="1807" width="3.109375" style="138" customWidth="1"/>
    <col min="1808" max="1808" width="2.44140625" style="138" customWidth="1"/>
    <col min="1809" max="1809" width="2.109375" style="138" customWidth="1"/>
    <col min="1810" max="1810" width="3.44140625" style="138" customWidth="1"/>
    <col min="1811" max="1811" width="1.109375" style="138" customWidth="1"/>
    <col min="1812" max="1812" width="4.44140625" style="138" customWidth="1"/>
    <col min="1813" max="1813" width="0.109375" style="138" customWidth="1"/>
    <col min="1814" max="1814" width="3.21875" style="138" customWidth="1"/>
    <col min="1815" max="1815" width="1.33203125" style="138" customWidth="1"/>
    <col min="1816" max="1816" width="0.88671875" style="138" customWidth="1"/>
    <col min="1817" max="1817" width="3.6640625" style="138" customWidth="1"/>
    <col min="1818" max="1818" width="1.88671875" style="138" customWidth="1"/>
    <col min="1819" max="1819" width="2.6640625" style="138" customWidth="1"/>
    <col min="1820" max="1820" width="2.88671875" style="138" customWidth="1"/>
    <col min="1821" max="1821" width="1.6640625" style="138" customWidth="1"/>
    <col min="1822" max="1822" width="3.88671875" style="138" customWidth="1"/>
    <col min="1823" max="1823" width="0.6640625" style="138" customWidth="1"/>
    <col min="1824" max="1824" width="4.5546875" style="138" customWidth="1"/>
    <col min="1825" max="1825" width="0.33203125" style="138" customWidth="1"/>
    <col min="1826" max="1826" width="4.21875" style="138" customWidth="1"/>
    <col min="1827" max="1827" width="1.33203125" style="138" customWidth="1"/>
    <col min="1828" max="1828" width="3.21875" style="138" customWidth="1"/>
    <col min="1829" max="1829" width="2.33203125" style="138" customWidth="1"/>
    <col min="1830" max="1830" width="2.21875" style="138" customWidth="1"/>
    <col min="1831" max="1831" width="3.33203125" style="138" customWidth="1"/>
    <col min="1832" max="1832" width="1.21875" style="138" customWidth="1"/>
    <col min="1833" max="1833" width="4.33203125" style="138" customWidth="1"/>
    <col min="1834" max="1834" width="0.21875" style="138" customWidth="1"/>
    <col min="1835" max="1835" width="4.5546875" style="138" customWidth="1"/>
    <col min="1836" max="1836" width="0.77734375" style="138" customWidth="1"/>
    <col min="1837" max="1838" width="11.109375" style="138" customWidth="1"/>
    <col min="1839" max="1839" width="0.21875" style="138" customWidth="1"/>
    <col min="1840" max="1840" width="10.88671875" style="138" customWidth="1"/>
    <col min="1841" max="1860" width="11.109375" style="138" customWidth="1"/>
    <col min="1861" max="2048" width="8.88671875" style="138"/>
    <col min="2049" max="2049" width="4.5546875" style="138" customWidth="1"/>
    <col min="2050" max="2050" width="1" style="138" customWidth="1"/>
    <col min="2051" max="2051" width="3.5546875" style="138" customWidth="1"/>
    <col min="2052" max="2052" width="2" style="138" customWidth="1"/>
    <col min="2053" max="2053" width="0.21875" style="138" customWidth="1"/>
    <col min="2054" max="2054" width="2.33203125" style="138" customWidth="1"/>
    <col min="2055" max="2055" width="3" style="138" customWidth="1"/>
    <col min="2056" max="2056" width="1.5546875" style="138" customWidth="1"/>
    <col min="2057" max="2057" width="4" style="138" customWidth="1"/>
    <col min="2058" max="2058" width="0.5546875" style="138" customWidth="1"/>
    <col min="2059" max="2059" width="4.5546875" style="138" customWidth="1"/>
    <col min="2060" max="2060" width="0.44140625" style="138" customWidth="1"/>
    <col min="2061" max="2061" width="4.109375" style="138" customWidth="1"/>
    <col min="2062" max="2062" width="1.44140625" style="138" customWidth="1"/>
    <col min="2063" max="2063" width="3.109375" style="138" customWidth="1"/>
    <col min="2064" max="2064" width="2.44140625" style="138" customWidth="1"/>
    <col min="2065" max="2065" width="2.109375" style="138" customWidth="1"/>
    <col min="2066" max="2066" width="3.44140625" style="138" customWidth="1"/>
    <col min="2067" max="2067" width="1.109375" style="138" customWidth="1"/>
    <col min="2068" max="2068" width="4.44140625" style="138" customWidth="1"/>
    <col min="2069" max="2069" width="0.109375" style="138" customWidth="1"/>
    <col min="2070" max="2070" width="3.21875" style="138" customWidth="1"/>
    <col min="2071" max="2071" width="1.33203125" style="138" customWidth="1"/>
    <col min="2072" max="2072" width="0.88671875" style="138" customWidth="1"/>
    <col min="2073" max="2073" width="3.6640625" style="138" customWidth="1"/>
    <col min="2074" max="2074" width="1.88671875" style="138" customWidth="1"/>
    <col min="2075" max="2075" width="2.6640625" style="138" customWidth="1"/>
    <col min="2076" max="2076" width="2.88671875" style="138" customWidth="1"/>
    <col min="2077" max="2077" width="1.6640625" style="138" customWidth="1"/>
    <col min="2078" max="2078" width="3.88671875" style="138" customWidth="1"/>
    <col min="2079" max="2079" width="0.6640625" style="138" customWidth="1"/>
    <col min="2080" max="2080" width="4.5546875" style="138" customWidth="1"/>
    <col min="2081" max="2081" width="0.33203125" style="138" customWidth="1"/>
    <col min="2082" max="2082" width="4.21875" style="138" customWidth="1"/>
    <col min="2083" max="2083" width="1.33203125" style="138" customWidth="1"/>
    <col min="2084" max="2084" width="3.21875" style="138" customWidth="1"/>
    <col min="2085" max="2085" width="2.33203125" style="138" customWidth="1"/>
    <col min="2086" max="2086" width="2.21875" style="138" customWidth="1"/>
    <col min="2087" max="2087" width="3.33203125" style="138" customWidth="1"/>
    <col min="2088" max="2088" width="1.21875" style="138" customWidth="1"/>
    <col min="2089" max="2089" width="4.33203125" style="138" customWidth="1"/>
    <col min="2090" max="2090" width="0.21875" style="138" customWidth="1"/>
    <col min="2091" max="2091" width="4.5546875" style="138" customWidth="1"/>
    <col min="2092" max="2092" width="0.77734375" style="138" customWidth="1"/>
    <col min="2093" max="2094" width="11.109375" style="138" customWidth="1"/>
    <col min="2095" max="2095" width="0.21875" style="138" customWidth="1"/>
    <col min="2096" max="2096" width="10.88671875" style="138" customWidth="1"/>
    <col min="2097" max="2116" width="11.109375" style="138" customWidth="1"/>
    <col min="2117" max="2304" width="8.88671875" style="138"/>
    <col min="2305" max="2305" width="4.5546875" style="138" customWidth="1"/>
    <col min="2306" max="2306" width="1" style="138" customWidth="1"/>
    <col min="2307" max="2307" width="3.5546875" style="138" customWidth="1"/>
    <col min="2308" max="2308" width="2" style="138" customWidth="1"/>
    <col min="2309" max="2309" width="0.21875" style="138" customWidth="1"/>
    <col min="2310" max="2310" width="2.33203125" style="138" customWidth="1"/>
    <col min="2311" max="2311" width="3" style="138" customWidth="1"/>
    <col min="2312" max="2312" width="1.5546875" style="138" customWidth="1"/>
    <col min="2313" max="2313" width="4" style="138" customWidth="1"/>
    <col min="2314" max="2314" width="0.5546875" style="138" customWidth="1"/>
    <col min="2315" max="2315" width="4.5546875" style="138" customWidth="1"/>
    <col min="2316" max="2316" width="0.44140625" style="138" customWidth="1"/>
    <col min="2317" max="2317" width="4.109375" style="138" customWidth="1"/>
    <col min="2318" max="2318" width="1.44140625" style="138" customWidth="1"/>
    <col min="2319" max="2319" width="3.109375" style="138" customWidth="1"/>
    <col min="2320" max="2320" width="2.44140625" style="138" customWidth="1"/>
    <col min="2321" max="2321" width="2.109375" style="138" customWidth="1"/>
    <col min="2322" max="2322" width="3.44140625" style="138" customWidth="1"/>
    <col min="2323" max="2323" width="1.109375" style="138" customWidth="1"/>
    <col min="2324" max="2324" width="4.44140625" style="138" customWidth="1"/>
    <col min="2325" max="2325" width="0.109375" style="138" customWidth="1"/>
    <col min="2326" max="2326" width="3.21875" style="138" customWidth="1"/>
    <col min="2327" max="2327" width="1.33203125" style="138" customWidth="1"/>
    <col min="2328" max="2328" width="0.88671875" style="138" customWidth="1"/>
    <col min="2329" max="2329" width="3.6640625" style="138" customWidth="1"/>
    <col min="2330" max="2330" width="1.88671875" style="138" customWidth="1"/>
    <col min="2331" max="2331" width="2.6640625" style="138" customWidth="1"/>
    <col min="2332" max="2332" width="2.88671875" style="138" customWidth="1"/>
    <col min="2333" max="2333" width="1.6640625" style="138" customWidth="1"/>
    <col min="2334" max="2334" width="3.88671875" style="138" customWidth="1"/>
    <col min="2335" max="2335" width="0.6640625" style="138" customWidth="1"/>
    <col min="2336" max="2336" width="4.5546875" style="138" customWidth="1"/>
    <col min="2337" max="2337" width="0.33203125" style="138" customWidth="1"/>
    <col min="2338" max="2338" width="4.21875" style="138" customWidth="1"/>
    <col min="2339" max="2339" width="1.33203125" style="138" customWidth="1"/>
    <col min="2340" max="2340" width="3.21875" style="138" customWidth="1"/>
    <col min="2341" max="2341" width="2.33203125" style="138" customWidth="1"/>
    <col min="2342" max="2342" width="2.21875" style="138" customWidth="1"/>
    <col min="2343" max="2343" width="3.33203125" style="138" customWidth="1"/>
    <col min="2344" max="2344" width="1.21875" style="138" customWidth="1"/>
    <col min="2345" max="2345" width="4.33203125" style="138" customWidth="1"/>
    <col min="2346" max="2346" width="0.21875" style="138" customWidth="1"/>
    <col min="2347" max="2347" width="4.5546875" style="138" customWidth="1"/>
    <col min="2348" max="2348" width="0.77734375" style="138" customWidth="1"/>
    <col min="2349" max="2350" width="11.109375" style="138" customWidth="1"/>
    <col min="2351" max="2351" width="0.21875" style="138" customWidth="1"/>
    <col min="2352" max="2352" width="10.88671875" style="138" customWidth="1"/>
    <col min="2353" max="2372" width="11.109375" style="138" customWidth="1"/>
    <col min="2373" max="2560" width="8.88671875" style="138"/>
    <col min="2561" max="2561" width="4.5546875" style="138" customWidth="1"/>
    <col min="2562" max="2562" width="1" style="138" customWidth="1"/>
    <col min="2563" max="2563" width="3.5546875" style="138" customWidth="1"/>
    <col min="2564" max="2564" width="2" style="138" customWidth="1"/>
    <col min="2565" max="2565" width="0.21875" style="138" customWidth="1"/>
    <col min="2566" max="2566" width="2.33203125" style="138" customWidth="1"/>
    <col min="2567" max="2567" width="3" style="138" customWidth="1"/>
    <col min="2568" max="2568" width="1.5546875" style="138" customWidth="1"/>
    <col min="2569" max="2569" width="4" style="138" customWidth="1"/>
    <col min="2570" max="2570" width="0.5546875" style="138" customWidth="1"/>
    <col min="2571" max="2571" width="4.5546875" style="138" customWidth="1"/>
    <col min="2572" max="2572" width="0.44140625" style="138" customWidth="1"/>
    <col min="2573" max="2573" width="4.109375" style="138" customWidth="1"/>
    <col min="2574" max="2574" width="1.44140625" style="138" customWidth="1"/>
    <col min="2575" max="2575" width="3.109375" style="138" customWidth="1"/>
    <col min="2576" max="2576" width="2.44140625" style="138" customWidth="1"/>
    <col min="2577" max="2577" width="2.109375" style="138" customWidth="1"/>
    <col min="2578" max="2578" width="3.44140625" style="138" customWidth="1"/>
    <col min="2579" max="2579" width="1.109375" style="138" customWidth="1"/>
    <col min="2580" max="2580" width="4.44140625" style="138" customWidth="1"/>
    <col min="2581" max="2581" width="0.109375" style="138" customWidth="1"/>
    <col min="2582" max="2582" width="3.21875" style="138" customWidth="1"/>
    <col min="2583" max="2583" width="1.33203125" style="138" customWidth="1"/>
    <col min="2584" max="2584" width="0.88671875" style="138" customWidth="1"/>
    <col min="2585" max="2585" width="3.6640625" style="138" customWidth="1"/>
    <col min="2586" max="2586" width="1.88671875" style="138" customWidth="1"/>
    <col min="2587" max="2587" width="2.6640625" style="138" customWidth="1"/>
    <col min="2588" max="2588" width="2.88671875" style="138" customWidth="1"/>
    <col min="2589" max="2589" width="1.6640625" style="138" customWidth="1"/>
    <col min="2590" max="2590" width="3.88671875" style="138" customWidth="1"/>
    <col min="2591" max="2591" width="0.6640625" style="138" customWidth="1"/>
    <col min="2592" max="2592" width="4.5546875" style="138" customWidth="1"/>
    <col min="2593" max="2593" width="0.33203125" style="138" customWidth="1"/>
    <col min="2594" max="2594" width="4.21875" style="138" customWidth="1"/>
    <col min="2595" max="2595" width="1.33203125" style="138" customWidth="1"/>
    <col min="2596" max="2596" width="3.21875" style="138" customWidth="1"/>
    <col min="2597" max="2597" width="2.33203125" style="138" customWidth="1"/>
    <col min="2598" max="2598" width="2.21875" style="138" customWidth="1"/>
    <col min="2599" max="2599" width="3.33203125" style="138" customWidth="1"/>
    <col min="2600" max="2600" width="1.21875" style="138" customWidth="1"/>
    <col min="2601" max="2601" width="4.33203125" style="138" customWidth="1"/>
    <col min="2602" max="2602" width="0.21875" style="138" customWidth="1"/>
    <col min="2603" max="2603" width="4.5546875" style="138" customWidth="1"/>
    <col min="2604" max="2604" width="0.77734375" style="138" customWidth="1"/>
    <col min="2605" max="2606" width="11.109375" style="138" customWidth="1"/>
    <col min="2607" max="2607" width="0.21875" style="138" customWidth="1"/>
    <col min="2608" max="2608" width="10.88671875" style="138" customWidth="1"/>
    <col min="2609" max="2628" width="11.109375" style="138" customWidth="1"/>
    <col min="2629" max="2816" width="8.88671875" style="138"/>
    <col min="2817" max="2817" width="4.5546875" style="138" customWidth="1"/>
    <col min="2818" max="2818" width="1" style="138" customWidth="1"/>
    <col min="2819" max="2819" width="3.5546875" style="138" customWidth="1"/>
    <col min="2820" max="2820" width="2" style="138" customWidth="1"/>
    <col min="2821" max="2821" width="0.21875" style="138" customWidth="1"/>
    <col min="2822" max="2822" width="2.33203125" style="138" customWidth="1"/>
    <col min="2823" max="2823" width="3" style="138" customWidth="1"/>
    <col min="2824" max="2824" width="1.5546875" style="138" customWidth="1"/>
    <col min="2825" max="2825" width="4" style="138" customWidth="1"/>
    <col min="2826" max="2826" width="0.5546875" style="138" customWidth="1"/>
    <col min="2827" max="2827" width="4.5546875" style="138" customWidth="1"/>
    <col min="2828" max="2828" width="0.44140625" style="138" customWidth="1"/>
    <col min="2829" max="2829" width="4.109375" style="138" customWidth="1"/>
    <col min="2830" max="2830" width="1.44140625" style="138" customWidth="1"/>
    <col min="2831" max="2831" width="3.109375" style="138" customWidth="1"/>
    <col min="2832" max="2832" width="2.44140625" style="138" customWidth="1"/>
    <col min="2833" max="2833" width="2.109375" style="138" customWidth="1"/>
    <col min="2834" max="2834" width="3.44140625" style="138" customWidth="1"/>
    <col min="2835" max="2835" width="1.109375" style="138" customWidth="1"/>
    <col min="2836" max="2836" width="4.44140625" style="138" customWidth="1"/>
    <col min="2837" max="2837" width="0.109375" style="138" customWidth="1"/>
    <col min="2838" max="2838" width="3.21875" style="138" customWidth="1"/>
    <col min="2839" max="2839" width="1.33203125" style="138" customWidth="1"/>
    <col min="2840" max="2840" width="0.88671875" style="138" customWidth="1"/>
    <col min="2841" max="2841" width="3.6640625" style="138" customWidth="1"/>
    <col min="2842" max="2842" width="1.88671875" style="138" customWidth="1"/>
    <col min="2843" max="2843" width="2.6640625" style="138" customWidth="1"/>
    <col min="2844" max="2844" width="2.88671875" style="138" customWidth="1"/>
    <col min="2845" max="2845" width="1.6640625" style="138" customWidth="1"/>
    <col min="2846" max="2846" width="3.88671875" style="138" customWidth="1"/>
    <col min="2847" max="2847" width="0.6640625" style="138" customWidth="1"/>
    <col min="2848" max="2848" width="4.5546875" style="138" customWidth="1"/>
    <col min="2849" max="2849" width="0.33203125" style="138" customWidth="1"/>
    <col min="2850" max="2850" width="4.21875" style="138" customWidth="1"/>
    <col min="2851" max="2851" width="1.33203125" style="138" customWidth="1"/>
    <col min="2852" max="2852" width="3.21875" style="138" customWidth="1"/>
    <col min="2853" max="2853" width="2.33203125" style="138" customWidth="1"/>
    <col min="2854" max="2854" width="2.21875" style="138" customWidth="1"/>
    <col min="2855" max="2855" width="3.33203125" style="138" customWidth="1"/>
    <col min="2856" max="2856" width="1.21875" style="138" customWidth="1"/>
    <col min="2857" max="2857" width="4.33203125" style="138" customWidth="1"/>
    <col min="2858" max="2858" width="0.21875" style="138" customWidth="1"/>
    <col min="2859" max="2859" width="4.5546875" style="138" customWidth="1"/>
    <col min="2860" max="2860" width="0.77734375" style="138" customWidth="1"/>
    <col min="2861" max="2862" width="11.109375" style="138" customWidth="1"/>
    <col min="2863" max="2863" width="0.21875" style="138" customWidth="1"/>
    <col min="2864" max="2864" width="10.88671875" style="138" customWidth="1"/>
    <col min="2865" max="2884" width="11.109375" style="138" customWidth="1"/>
    <col min="2885" max="3072" width="8.88671875" style="138"/>
    <col min="3073" max="3073" width="4.5546875" style="138" customWidth="1"/>
    <col min="3074" max="3074" width="1" style="138" customWidth="1"/>
    <col min="3075" max="3075" width="3.5546875" style="138" customWidth="1"/>
    <col min="3076" max="3076" width="2" style="138" customWidth="1"/>
    <col min="3077" max="3077" width="0.21875" style="138" customWidth="1"/>
    <col min="3078" max="3078" width="2.33203125" style="138" customWidth="1"/>
    <col min="3079" max="3079" width="3" style="138" customWidth="1"/>
    <col min="3080" max="3080" width="1.5546875" style="138" customWidth="1"/>
    <col min="3081" max="3081" width="4" style="138" customWidth="1"/>
    <col min="3082" max="3082" width="0.5546875" style="138" customWidth="1"/>
    <col min="3083" max="3083" width="4.5546875" style="138" customWidth="1"/>
    <col min="3084" max="3084" width="0.44140625" style="138" customWidth="1"/>
    <col min="3085" max="3085" width="4.109375" style="138" customWidth="1"/>
    <col min="3086" max="3086" width="1.44140625" style="138" customWidth="1"/>
    <col min="3087" max="3087" width="3.109375" style="138" customWidth="1"/>
    <col min="3088" max="3088" width="2.44140625" style="138" customWidth="1"/>
    <col min="3089" max="3089" width="2.109375" style="138" customWidth="1"/>
    <col min="3090" max="3090" width="3.44140625" style="138" customWidth="1"/>
    <col min="3091" max="3091" width="1.109375" style="138" customWidth="1"/>
    <col min="3092" max="3092" width="4.44140625" style="138" customWidth="1"/>
    <col min="3093" max="3093" width="0.109375" style="138" customWidth="1"/>
    <col min="3094" max="3094" width="3.21875" style="138" customWidth="1"/>
    <col min="3095" max="3095" width="1.33203125" style="138" customWidth="1"/>
    <col min="3096" max="3096" width="0.88671875" style="138" customWidth="1"/>
    <col min="3097" max="3097" width="3.6640625" style="138" customWidth="1"/>
    <col min="3098" max="3098" width="1.88671875" style="138" customWidth="1"/>
    <col min="3099" max="3099" width="2.6640625" style="138" customWidth="1"/>
    <col min="3100" max="3100" width="2.88671875" style="138" customWidth="1"/>
    <col min="3101" max="3101" width="1.6640625" style="138" customWidth="1"/>
    <col min="3102" max="3102" width="3.88671875" style="138" customWidth="1"/>
    <col min="3103" max="3103" width="0.6640625" style="138" customWidth="1"/>
    <col min="3104" max="3104" width="4.5546875" style="138" customWidth="1"/>
    <col min="3105" max="3105" width="0.33203125" style="138" customWidth="1"/>
    <col min="3106" max="3106" width="4.21875" style="138" customWidth="1"/>
    <col min="3107" max="3107" width="1.33203125" style="138" customWidth="1"/>
    <col min="3108" max="3108" width="3.21875" style="138" customWidth="1"/>
    <col min="3109" max="3109" width="2.33203125" style="138" customWidth="1"/>
    <col min="3110" max="3110" width="2.21875" style="138" customWidth="1"/>
    <col min="3111" max="3111" width="3.33203125" style="138" customWidth="1"/>
    <col min="3112" max="3112" width="1.21875" style="138" customWidth="1"/>
    <col min="3113" max="3113" width="4.33203125" style="138" customWidth="1"/>
    <col min="3114" max="3114" width="0.21875" style="138" customWidth="1"/>
    <col min="3115" max="3115" width="4.5546875" style="138" customWidth="1"/>
    <col min="3116" max="3116" width="0.77734375" style="138" customWidth="1"/>
    <col min="3117" max="3118" width="11.109375" style="138" customWidth="1"/>
    <col min="3119" max="3119" width="0.21875" style="138" customWidth="1"/>
    <col min="3120" max="3120" width="10.88671875" style="138" customWidth="1"/>
    <col min="3121" max="3140" width="11.109375" style="138" customWidth="1"/>
    <col min="3141" max="3328" width="8.88671875" style="138"/>
    <col min="3329" max="3329" width="4.5546875" style="138" customWidth="1"/>
    <col min="3330" max="3330" width="1" style="138" customWidth="1"/>
    <col min="3331" max="3331" width="3.5546875" style="138" customWidth="1"/>
    <col min="3332" max="3332" width="2" style="138" customWidth="1"/>
    <col min="3333" max="3333" width="0.21875" style="138" customWidth="1"/>
    <col min="3334" max="3334" width="2.33203125" style="138" customWidth="1"/>
    <col min="3335" max="3335" width="3" style="138" customWidth="1"/>
    <col min="3336" max="3336" width="1.5546875" style="138" customWidth="1"/>
    <col min="3337" max="3337" width="4" style="138" customWidth="1"/>
    <col min="3338" max="3338" width="0.5546875" style="138" customWidth="1"/>
    <col min="3339" max="3339" width="4.5546875" style="138" customWidth="1"/>
    <col min="3340" max="3340" width="0.44140625" style="138" customWidth="1"/>
    <col min="3341" max="3341" width="4.109375" style="138" customWidth="1"/>
    <col min="3342" max="3342" width="1.44140625" style="138" customWidth="1"/>
    <col min="3343" max="3343" width="3.109375" style="138" customWidth="1"/>
    <col min="3344" max="3344" width="2.44140625" style="138" customWidth="1"/>
    <col min="3345" max="3345" width="2.109375" style="138" customWidth="1"/>
    <col min="3346" max="3346" width="3.44140625" style="138" customWidth="1"/>
    <col min="3347" max="3347" width="1.109375" style="138" customWidth="1"/>
    <col min="3348" max="3348" width="4.44140625" style="138" customWidth="1"/>
    <col min="3349" max="3349" width="0.109375" style="138" customWidth="1"/>
    <col min="3350" max="3350" width="3.21875" style="138" customWidth="1"/>
    <col min="3351" max="3351" width="1.33203125" style="138" customWidth="1"/>
    <col min="3352" max="3352" width="0.88671875" style="138" customWidth="1"/>
    <col min="3353" max="3353" width="3.6640625" style="138" customWidth="1"/>
    <col min="3354" max="3354" width="1.88671875" style="138" customWidth="1"/>
    <col min="3355" max="3355" width="2.6640625" style="138" customWidth="1"/>
    <col min="3356" max="3356" width="2.88671875" style="138" customWidth="1"/>
    <col min="3357" max="3357" width="1.6640625" style="138" customWidth="1"/>
    <col min="3358" max="3358" width="3.88671875" style="138" customWidth="1"/>
    <col min="3359" max="3359" width="0.6640625" style="138" customWidth="1"/>
    <col min="3360" max="3360" width="4.5546875" style="138" customWidth="1"/>
    <col min="3361" max="3361" width="0.33203125" style="138" customWidth="1"/>
    <col min="3362" max="3362" width="4.21875" style="138" customWidth="1"/>
    <col min="3363" max="3363" width="1.33203125" style="138" customWidth="1"/>
    <col min="3364" max="3364" width="3.21875" style="138" customWidth="1"/>
    <col min="3365" max="3365" width="2.33203125" style="138" customWidth="1"/>
    <col min="3366" max="3366" width="2.21875" style="138" customWidth="1"/>
    <col min="3367" max="3367" width="3.33203125" style="138" customWidth="1"/>
    <col min="3368" max="3368" width="1.21875" style="138" customWidth="1"/>
    <col min="3369" max="3369" width="4.33203125" style="138" customWidth="1"/>
    <col min="3370" max="3370" width="0.21875" style="138" customWidth="1"/>
    <col min="3371" max="3371" width="4.5546875" style="138" customWidth="1"/>
    <col min="3372" max="3372" width="0.77734375" style="138" customWidth="1"/>
    <col min="3373" max="3374" width="11.109375" style="138" customWidth="1"/>
    <col min="3375" max="3375" width="0.21875" style="138" customWidth="1"/>
    <col min="3376" max="3376" width="10.88671875" style="138" customWidth="1"/>
    <col min="3377" max="3396" width="11.109375" style="138" customWidth="1"/>
    <col min="3397" max="3584" width="8.88671875" style="138"/>
    <col min="3585" max="3585" width="4.5546875" style="138" customWidth="1"/>
    <col min="3586" max="3586" width="1" style="138" customWidth="1"/>
    <col min="3587" max="3587" width="3.5546875" style="138" customWidth="1"/>
    <col min="3588" max="3588" width="2" style="138" customWidth="1"/>
    <col min="3589" max="3589" width="0.21875" style="138" customWidth="1"/>
    <col min="3590" max="3590" width="2.33203125" style="138" customWidth="1"/>
    <col min="3591" max="3591" width="3" style="138" customWidth="1"/>
    <col min="3592" max="3592" width="1.5546875" style="138" customWidth="1"/>
    <col min="3593" max="3593" width="4" style="138" customWidth="1"/>
    <col min="3594" max="3594" width="0.5546875" style="138" customWidth="1"/>
    <col min="3595" max="3595" width="4.5546875" style="138" customWidth="1"/>
    <col min="3596" max="3596" width="0.44140625" style="138" customWidth="1"/>
    <col min="3597" max="3597" width="4.109375" style="138" customWidth="1"/>
    <col min="3598" max="3598" width="1.44140625" style="138" customWidth="1"/>
    <col min="3599" max="3599" width="3.109375" style="138" customWidth="1"/>
    <col min="3600" max="3600" width="2.44140625" style="138" customWidth="1"/>
    <col min="3601" max="3601" width="2.109375" style="138" customWidth="1"/>
    <col min="3602" max="3602" width="3.44140625" style="138" customWidth="1"/>
    <col min="3603" max="3603" width="1.109375" style="138" customWidth="1"/>
    <col min="3604" max="3604" width="4.44140625" style="138" customWidth="1"/>
    <col min="3605" max="3605" width="0.109375" style="138" customWidth="1"/>
    <col min="3606" max="3606" width="3.21875" style="138" customWidth="1"/>
    <col min="3607" max="3607" width="1.33203125" style="138" customWidth="1"/>
    <col min="3608" max="3608" width="0.88671875" style="138" customWidth="1"/>
    <col min="3609" max="3609" width="3.6640625" style="138" customWidth="1"/>
    <col min="3610" max="3610" width="1.88671875" style="138" customWidth="1"/>
    <col min="3611" max="3611" width="2.6640625" style="138" customWidth="1"/>
    <col min="3612" max="3612" width="2.88671875" style="138" customWidth="1"/>
    <col min="3613" max="3613" width="1.6640625" style="138" customWidth="1"/>
    <col min="3614" max="3614" width="3.88671875" style="138" customWidth="1"/>
    <col min="3615" max="3615" width="0.6640625" style="138" customWidth="1"/>
    <col min="3616" max="3616" width="4.5546875" style="138" customWidth="1"/>
    <col min="3617" max="3617" width="0.33203125" style="138" customWidth="1"/>
    <col min="3618" max="3618" width="4.21875" style="138" customWidth="1"/>
    <col min="3619" max="3619" width="1.33203125" style="138" customWidth="1"/>
    <col min="3620" max="3620" width="3.21875" style="138" customWidth="1"/>
    <col min="3621" max="3621" width="2.33203125" style="138" customWidth="1"/>
    <col min="3622" max="3622" width="2.21875" style="138" customWidth="1"/>
    <col min="3623" max="3623" width="3.33203125" style="138" customWidth="1"/>
    <col min="3624" max="3624" width="1.21875" style="138" customWidth="1"/>
    <col min="3625" max="3625" width="4.33203125" style="138" customWidth="1"/>
    <col min="3626" max="3626" width="0.21875" style="138" customWidth="1"/>
    <col min="3627" max="3627" width="4.5546875" style="138" customWidth="1"/>
    <col min="3628" max="3628" width="0.77734375" style="138" customWidth="1"/>
    <col min="3629" max="3630" width="11.109375" style="138" customWidth="1"/>
    <col min="3631" max="3631" width="0.21875" style="138" customWidth="1"/>
    <col min="3632" max="3632" width="10.88671875" style="138" customWidth="1"/>
    <col min="3633" max="3652" width="11.109375" style="138" customWidth="1"/>
    <col min="3653" max="3840" width="8.88671875" style="138"/>
    <col min="3841" max="3841" width="4.5546875" style="138" customWidth="1"/>
    <col min="3842" max="3842" width="1" style="138" customWidth="1"/>
    <col min="3843" max="3843" width="3.5546875" style="138" customWidth="1"/>
    <col min="3844" max="3844" width="2" style="138" customWidth="1"/>
    <col min="3845" max="3845" width="0.21875" style="138" customWidth="1"/>
    <col min="3846" max="3846" width="2.33203125" style="138" customWidth="1"/>
    <col min="3847" max="3847" width="3" style="138" customWidth="1"/>
    <col min="3848" max="3848" width="1.5546875" style="138" customWidth="1"/>
    <col min="3849" max="3849" width="4" style="138" customWidth="1"/>
    <col min="3850" max="3850" width="0.5546875" style="138" customWidth="1"/>
    <col min="3851" max="3851" width="4.5546875" style="138" customWidth="1"/>
    <col min="3852" max="3852" width="0.44140625" style="138" customWidth="1"/>
    <col min="3853" max="3853" width="4.109375" style="138" customWidth="1"/>
    <col min="3854" max="3854" width="1.44140625" style="138" customWidth="1"/>
    <col min="3855" max="3855" width="3.109375" style="138" customWidth="1"/>
    <col min="3856" max="3856" width="2.44140625" style="138" customWidth="1"/>
    <col min="3857" max="3857" width="2.109375" style="138" customWidth="1"/>
    <col min="3858" max="3858" width="3.44140625" style="138" customWidth="1"/>
    <col min="3859" max="3859" width="1.109375" style="138" customWidth="1"/>
    <col min="3860" max="3860" width="4.44140625" style="138" customWidth="1"/>
    <col min="3861" max="3861" width="0.109375" style="138" customWidth="1"/>
    <col min="3862" max="3862" width="3.21875" style="138" customWidth="1"/>
    <col min="3863" max="3863" width="1.33203125" style="138" customWidth="1"/>
    <col min="3864" max="3864" width="0.88671875" style="138" customWidth="1"/>
    <col min="3865" max="3865" width="3.6640625" style="138" customWidth="1"/>
    <col min="3866" max="3866" width="1.88671875" style="138" customWidth="1"/>
    <col min="3867" max="3867" width="2.6640625" style="138" customWidth="1"/>
    <col min="3868" max="3868" width="2.88671875" style="138" customWidth="1"/>
    <col min="3869" max="3869" width="1.6640625" style="138" customWidth="1"/>
    <col min="3870" max="3870" width="3.88671875" style="138" customWidth="1"/>
    <col min="3871" max="3871" width="0.6640625" style="138" customWidth="1"/>
    <col min="3872" max="3872" width="4.5546875" style="138" customWidth="1"/>
    <col min="3873" max="3873" width="0.33203125" style="138" customWidth="1"/>
    <col min="3874" max="3874" width="4.21875" style="138" customWidth="1"/>
    <col min="3875" max="3875" width="1.33203125" style="138" customWidth="1"/>
    <col min="3876" max="3876" width="3.21875" style="138" customWidth="1"/>
    <col min="3877" max="3877" width="2.33203125" style="138" customWidth="1"/>
    <col min="3878" max="3878" width="2.21875" style="138" customWidth="1"/>
    <col min="3879" max="3879" width="3.33203125" style="138" customWidth="1"/>
    <col min="3880" max="3880" width="1.21875" style="138" customWidth="1"/>
    <col min="3881" max="3881" width="4.33203125" style="138" customWidth="1"/>
    <col min="3882" max="3882" width="0.21875" style="138" customWidth="1"/>
    <col min="3883" max="3883" width="4.5546875" style="138" customWidth="1"/>
    <col min="3884" max="3884" width="0.77734375" style="138" customWidth="1"/>
    <col min="3885" max="3886" width="11.109375" style="138" customWidth="1"/>
    <col min="3887" max="3887" width="0.21875" style="138" customWidth="1"/>
    <col min="3888" max="3888" width="10.88671875" style="138" customWidth="1"/>
    <col min="3889" max="3908" width="11.109375" style="138" customWidth="1"/>
    <col min="3909" max="4096" width="8.88671875" style="138"/>
    <col min="4097" max="4097" width="4.5546875" style="138" customWidth="1"/>
    <col min="4098" max="4098" width="1" style="138" customWidth="1"/>
    <col min="4099" max="4099" width="3.5546875" style="138" customWidth="1"/>
    <col min="4100" max="4100" width="2" style="138" customWidth="1"/>
    <col min="4101" max="4101" width="0.21875" style="138" customWidth="1"/>
    <col min="4102" max="4102" width="2.33203125" style="138" customWidth="1"/>
    <col min="4103" max="4103" width="3" style="138" customWidth="1"/>
    <col min="4104" max="4104" width="1.5546875" style="138" customWidth="1"/>
    <col min="4105" max="4105" width="4" style="138" customWidth="1"/>
    <col min="4106" max="4106" width="0.5546875" style="138" customWidth="1"/>
    <col min="4107" max="4107" width="4.5546875" style="138" customWidth="1"/>
    <col min="4108" max="4108" width="0.44140625" style="138" customWidth="1"/>
    <col min="4109" max="4109" width="4.109375" style="138" customWidth="1"/>
    <col min="4110" max="4110" width="1.44140625" style="138" customWidth="1"/>
    <col min="4111" max="4111" width="3.109375" style="138" customWidth="1"/>
    <col min="4112" max="4112" width="2.44140625" style="138" customWidth="1"/>
    <col min="4113" max="4113" width="2.109375" style="138" customWidth="1"/>
    <col min="4114" max="4114" width="3.44140625" style="138" customWidth="1"/>
    <col min="4115" max="4115" width="1.109375" style="138" customWidth="1"/>
    <col min="4116" max="4116" width="4.44140625" style="138" customWidth="1"/>
    <col min="4117" max="4117" width="0.109375" style="138" customWidth="1"/>
    <col min="4118" max="4118" width="3.21875" style="138" customWidth="1"/>
    <col min="4119" max="4119" width="1.33203125" style="138" customWidth="1"/>
    <col min="4120" max="4120" width="0.88671875" style="138" customWidth="1"/>
    <col min="4121" max="4121" width="3.6640625" style="138" customWidth="1"/>
    <col min="4122" max="4122" width="1.88671875" style="138" customWidth="1"/>
    <col min="4123" max="4123" width="2.6640625" style="138" customWidth="1"/>
    <col min="4124" max="4124" width="2.88671875" style="138" customWidth="1"/>
    <col min="4125" max="4125" width="1.6640625" style="138" customWidth="1"/>
    <col min="4126" max="4126" width="3.88671875" style="138" customWidth="1"/>
    <col min="4127" max="4127" width="0.6640625" style="138" customWidth="1"/>
    <col min="4128" max="4128" width="4.5546875" style="138" customWidth="1"/>
    <col min="4129" max="4129" width="0.33203125" style="138" customWidth="1"/>
    <col min="4130" max="4130" width="4.21875" style="138" customWidth="1"/>
    <col min="4131" max="4131" width="1.33203125" style="138" customWidth="1"/>
    <col min="4132" max="4132" width="3.21875" style="138" customWidth="1"/>
    <col min="4133" max="4133" width="2.33203125" style="138" customWidth="1"/>
    <col min="4134" max="4134" width="2.21875" style="138" customWidth="1"/>
    <col min="4135" max="4135" width="3.33203125" style="138" customWidth="1"/>
    <col min="4136" max="4136" width="1.21875" style="138" customWidth="1"/>
    <col min="4137" max="4137" width="4.33203125" style="138" customWidth="1"/>
    <col min="4138" max="4138" width="0.21875" style="138" customWidth="1"/>
    <col min="4139" max="4139" width="4.5546875" style="138" customWidth="1"/>
    <col min="4140" max="4140" width="0.77734375" style="138" customWidth="1"/>
    <col min="4141" max="4142" width="11.109375" style="138" customWidth="1"/>
    <col min="4143" max="4143" width="0.21875" style="138" customWidth="1"/>
    <col min="4144" max="4144" width="10.88671875" style="138" customWidth="1"/>
    <col min="4145" max="4164" width="11.109375" style="138" customWidth="1"/>
    <col min="4165" max="4352" width="8.88671875" style="138"/>
    <col min="4353" max="4353" width="4.5546875" style="138" customWidth="1"/>
    <col min="4354" max="4354" width="1" style="138" customWidth="1"/>
    <col min="4355" max="4355" width="3.5546875" style="138" customWidth="1"/>
    <col min="4356" max="4356" width="2" style="138" customWidth="1"/>
    <col min="4357" max="4357" width="0.21875" style="138" customWidth="1"/>
    <col min="4358" max="4358" width="2.33203125" style="138" customWidth="1"/>
    <col min="4359" max="4359" width="3" style="138" customWidth="1"/>
    <col min="4360" max="4360" width="1.5546875" style="138" customWidth="1"/>
    <col min="4361" max="4361" width="4" style="138" customWidth="1"/>
    <col min="4362" max="4362" width="0.5546875" style="138" customWidth="1"/>
    <col min="4363" max="4363" width="4.5546875" style="138" customWidth="1"/>
    <col min="4364" max="4364" width="0.44140625" style="138" customWidth="1"/>
    <col min="4365" max="4365" width="4.109375" style="138" customWidth="1"/>
    <col min="4366" max="4366" width="1.44140625" style="138" customWidth="1"/>
    <col min="4367" max="4367" width="3.109375" style="138" customWidth="1"/>
    <col min="4368" max="4368" width="2.44140625" style="138" customWidth="1"/>
    <col min="4369" max="4369" width="2.109375" style="138" customWidth="1"/>
    <col min="4370" max="4370" width="3.44140625" style="138" customWidth="1"/>
    <col min="4371" max="4371" width="1.109375" style="138" customWidth="1"/>
    <col min="4372" max="4372" width="4.44140625" style="138" customWidth="1"/>
    <col min="4373" max="4373" width="0.109375" style="138" customWidth="1"/>
    <col min="4374" max="4374" width="3.21875" style="138" customWidth="1"/>
    <col min="4375" max="4375" width="1.33203125" style="138" customWidth="1"/>
    <col min="4376" max="4376" width="0.88671875" style="138" customWidth="1"/>
    <col min="4377" max="4377" width="3.6640625" style="138" customWidth="1"/>
    <col min="4378" max="4378" width="1.88671875" style="138" customWidth="1"/>
    <col min="4379" max="4379" width="2.6640625" style="138" customWidth="1"/>
    <col min="4380" max="4380" width="2.88671875" style="138" customWidth="1"/>
    <col min="4381" max="4381" width="1.6640625" style="138" customWidth="1"/>
    <col min="4382" max="4382" width="3.88671875" style="138" customWidth="1"/>
    <col min="4383" max="4383" width="0.6640625" style="138" customWidth="1"/>
    <col min="4384" max="4384" width="4.5546875" style="138" customWidth="1"/>
    <col min="4385" max="4385" width="0.33203125" style="138" customWidth="1"/>
    <col min="4386" max="4386" width="4.21875" style="138" customWidth="1"/>
    <col min="4387" max="4387" width="1.33203125" style="138" customWidth="1"/>
    <col min="4388" max="4388" width="3.21875" style="138" customWidth="1"/>
    <col min="4389" max="4389" width="2.33203125" style="138" customWidth="1"/>
    <col min="4390" max="4390" width="2.21875" style="138" customWidth="1"/>
    <col min="4391" max="4391" width="3.33203125" style="138" customWidth="1"/>
    <col min="4392" max="4392" width="1.21875" style="138" customWidth="1"/>
    <col min="4393" max="4393" width="4.33203125" style="138" customWidth="1"/>
    <col min="4394" max="4394" width="0.21875" style="138" customWidth="1"/>
    <col min="4395" max="4395" width="4.5546875" style="138" customWidth="1"/>
    <col min="4396" max="4396" width="0.77734375" style="138" customWidth="1"/>
    <col min="4397" max="4398" width="11.109375" style="138" customWidth="1"/>
    <col min="4399" max="4399" width="0.21875" style="138" customWidth="1"/>
    <col min="4400" max="4400" width="10.88671875" style="138" customWidth="1"/>
    <col min="4401" max="4420" width="11.109375" style="138" customWidth="1"/>
    <col min="4421" max="4608" width="8.88671875" style="138"/>
    <col min="4609" max="4609" width="4.5546875" style="138" customWidth="1"/>
    <col min="4610" max="4610" width="1" style="138" customWidth="1"/>
    <col min="4611" max="4611" width="3.5546875" style="138" customWidth="1"/>
    <col min="4612" max="4612" width="2" style="138" customWidth="1"/>
    <col min="4613" max="4613" width="0.21875" style="138" customWidth="1"/>
    <col min="4614" max="4614" width="2.33203125" style="138" customWidth="1"/>
    <col min="4615" max="4615" width="3" style="138" customWidth="1"/>
    <col min="4616" max="4616" width="1.5546875" style="138" customWidth="1"/>
    <col min="4617" max="4617" width="4" style="138" customWidth="1"/>
    <col min="4618" max="4618" width="0.5546875" style="138" customWidth="1"/>
    <col min="4619" max="4619" width="4.5546875" style="138" customWidth="1"/>
    <col min="4620" max="4620" width="0.44140625" style="138" customWidth="1"/>
    <col min="4621" max="4621" width="4.109375" style="138" customWidth="1"/>
    <col min="4622" max="4622" width="1.44140625" style="138" customWidth="1"/>
    <col min="4623" max="4623" width="3.109375" style="138" customWidth="1"/>
    <col min="4624" max="4624" width="2.44140625" style="138" customWidth="1"/>
    <col min="4625" max="4625" width="2.109375" style="138" customWidth="1"/>
    <col min="4626" max="4626" width="3.44140625" style="138" customWidth="1"/>
    <col min="4627" max="4627" width="1.109375" style="138" customWidth="1"/>
    <col min="4628" max="4628" width="4.44140625" style="138" customWidth="1"/>
    <col min="4629" max="4629" width="0.109375" style="138" customWidth="1"/>
    <col min="4630" max="4630" width="3.21875" style="138" customWidth="1"/>
    <col min="4631" max="4631" width="1.33203125" style="138" customWidth="1"/>
    <col min="4632" max="4632" width="0.88671875" style="138" customWidth="1"/>
    <col min="4633" max="4633" width="3.6640625" style="138" customWidth="1"/>
    <col min="4634" max="4634" width="1.88671875" style="138" customWidth="1"/>
    <col min="4635" max="4635" width="2.6640625" style="138" customWidth="1"/>
    <col min="4636" max="4636" width="2.88671875" style="138" customWidth="1"/>
    <col min="4637" max="4637" width="1.6640625" style="138" customWidth="1"/>
    <col min="4638" max="4638" width="3.88671875" style="138" customWidth="1"/>
    <col min="4639" max="4639" width="0.6640625" style="138" customWidth="1"/>
    <col min="4640" max="4640" width="4.5546875" style="138" customWidth="1"/>
    <col min="4641" max="4641" width="0.33203125" style="138" customWidth="1"/>
    <col min="4642" max="4642" width="4.21875" style="138" customWidth="1"/>
    <col min="4643" max="4643" width="1.33203125" style="138" customWidth="1"/>
    <col min="4644" max="4644" width="3.21875" style="138" customWidth="1"/>
    <col min="4645" max="4645" width="2.33203125" style="138" customWidth="1"/>
    <col min="4646" max="4646" width="2.21875" style="138" customWidth="1"/>
    <col min="4647" max="4647" width="3.33203125" style="138" customWidth="1"/>
    <col min="4648" max="4648" width="1.21875" style="138" customWidth="1"/>
    <col min="4649" max="4649" width="4.33203125" style="138" customWidth="1"/>
    <col min="4650" max="4650" width="0.21875" style="138" customWidth="1"/>
    <col min="4651" max="4651" width="4.5546875" style="138" customWidth="1"/>
    <col min="4652" max="4652" width="0.77734375" style="138" customWidth="1"/>
    <col min="4653" max="4654" width="11.109375" style="138" customWidth="1"/>
    <col min="4655" max="4655" width="0.21875" style="138" customWidth="1"/>
    <col min="4656" max="4656" width="10.88671875" style="138" customWidth="1"/>
    <col min="4657" max="4676" width="11.109375" style="138" customWidth="1"/>
    <col min="4677" max="4864" width="8.88671875" style="138"/>
    <col min="4865" max="4865" width="4.5546875" style="138" customWidth="1"/>
    <col min="4866" max="4866" width="1" style="138" customWidth="1"/>
    <col min="4867" max="4867" width="3.5546875" style="138" customWidth="1"/>
    <col min="4868" max="4868" width="2" style="138" customWidth="1"/>
    <col min="4869" max="4869" width="0.21875" style="138" customWidth="1"/>
    <col min="4870" max="4870" width="2.33203125" style="138" customWidth="1"/>
    <col min="4871" max="4871" width="3" style="138" customWidth="1"/>
    <col min="4872" max="4872" width="1.5546875" style="138" customWidth="1"/>
    <col min="4873" max="4873" width="4" style="138" customWidth="1"/>
    <col min="4874" max="4874" width="0.5546875" style="138" customWidth="1"/>
    <col min="4875" max="4875" width="4.5546875" style="138" customWidth="1"/>
    <col min="4876" max="4876" width="0.44140625" style="138" customWidth="1"/>
    <col min="4877" max="4877" width="4.109375" style="138" customWidth="1"/>
    <col min="4878" max="4878" width="1.44140625" style="138" customWidth="1"/>
    <col min="4879" max="4879" width="3.109375" style="138" customWidth="1"/>
    <col min="4880" max="4880" width="2.44140625" style="138" customWidth="1"/>
    <col min="4881" max="4881" width="2.109375" style="138" customWidth="1"/>
    <col min="4882" max="4882" width="3.44140625" style="138" customWidth="1"/>
    <col min="4883" max="4883" width="1.109375" style="138" customWidth="1"/>
    <col min="4884" max="4884" width="4.44140625" style="138" customWidth="1"/>
    <col min="4885" max="4885" width="0.109375" style="138" customWidth="1"/>
    <col min="4886" max="4886" width="3.21875" style="138" customWidth="1"/>
    <col min="4887" max="4887" width="1.33203125" style="138" customWidth="1"/>
    <col min="4888" max="4888" width="0.88671875" style="138" customWidth="1"/>
    <col min="4889" max="4889" width="3.6640625" style="138" customWidth="1"/>
    <col min="4890" max="4890" width="1.88671875" style="138" customWidth="1"/>
    <col min="4891" max="4891" width="2.6640625" style="138" customWidth="1"/>
    <col min="4892" max="4892" width="2.88671875" style="138" customWidth="1"/>
    <col min="4893" max="4893" width="1.6640625" style="138" customWidth="1"/>
    <col min="4894" max="4894" width="3.88671875" style="138" customWidth="1"/>
    <col min="4895" max="4895" width="0.6640625" style="138" customWidth="1"/>
    <col min="4896" max="4896" width="4.5546875" style="138" customWidth="1"/>
    <col min="4897" max="4897" width="0.33203125" style="138" customWidth="1"/>
    <col min="4898" max="4898" width="4.21875" style="138" customWidth="1"/>
    <col min="4899" max="4899" width="1.33203125" style="138" customWidth="1"/>
    <col min="4900" max="4900" width="3.21875" style="138" customWidth="1"/>
    <col min="4901" max="4901" width="2.33203125" style="138" customWidth="1"/>
    <col min="4902" max="4902" width="2.21875" style="138" customWidth="1"/>
    <col min="4903" max="4903" width="3.33203125" style="138" customWidth="1"/>
    <col min="4904" max="4904" width="1.21875" style="138" customWidth="1"/>
    <col min="4905" max="4905" width="4.33203125" style="138" customWidth="1"/>
    <col min="4906" max="4906" width="0.21875" style="138" customWidth="1"/>
    <col min="4907" max="4907" width="4.5546875" style="138" customWidth="1"/>
    <col min="4908" max="4908" width="0.77734375" style="138" customWidth="1"/>
    <col min="4909" max="4910" width="11.109375" style="138" customWidth="1"/>
    <col min="4911" max="4911" width="0.21875" style="138" customWidth="1"/>
    <col min="4912" max="4912" width="10.88671875" style="138" customWidth="1"/>
    <col min="4913" max="4932" width="11.109375" style="138" customWidth="1"/>
    <col min="4933" max="5120" width="8.88671875" style="138"/>
    <col min="5121" max="5121" width="4.5546875" style="138" customWidth="1"/>
    <col min="5122" max="5122" width="1" style="138" customWidth="1"/>
    <col min="5123" max="5123" width="3.5546875" style="138" customWidth="1"/>
    <col min="5124" max="5124" width="2" style="138" customWidth="1"/>
    <col min="5125" max="5125" width="0.21875" style="138" customWidth="1"/>
    <col min="5126" max="5126" width="2.33203125" style="138" customWidth="1"/>
    <col min="5127" max="5127" width="3" style="138" customWidth="1"/>
    <col min="5128" max="5128" width="1.5546875" style="138" customWidth="1"/>
    <col min="5129" max="5129" width="4" style="138" customWidth="1"/>
    <col min="5130" max="5130" width="0.5546875" style="138" customWidth="1"/>
    <col min="5131" max="5131" width="4.5546875" style="138" customWidth="1"/>
    <col min="5132" max="5132" width="0.44140625" style="138" customWidth="1"/>
    <col min="5133" max="5133" width="4.109375" style="138" customWidth="1"/>
    <col min="5134" max="5134" width="1.44140625" style="138" customWidth="1"/>
    <col min="5135" max="5135" width="3.109375" style="138" customWidth="1"/>
    <col min="5136" max="5136" width="2.44140625" style="138" customWidth="1"/>
    <col min="5137" max="5137" width="2.109375" style="138" customWidth="1"/>
    <col min="5138" max="5138" width="3.44140625" style="138" customWidth="1"/>
    <col min="5139" max="5139" width="1.109375" style="138" customWidth="1"/>
    <col min="5140" max="5140" width="4.44140625" style="138" customWidth="1"/>
    <col min="5141" max="5141" width="0.109375" style="138" customWidth="1"/>
    <col min="5142" max="5142" width="3.21875" style="138" customWidth="1"/>
    <col min="5143" max="5143" width="1.33203125" style="138" customWidth="1"/>
    <col min="5144" max="5144" width="0.88671875" style="138" customWidth="1"/>
    <col min="5145" max="5145" width="3.6640625" style="138" customWidth="1"/>
    <col min="5146" max="5146" width="1.88671875" style="138" customWidth="1"/>
    <col min="5147" max="5147" width="2.6640625" style="138" customWidth="1"/>
    <col min="5148" max="5148" width="2.88671875" style="138" customWidth="1"/>
    <col min="5149" max="5149" width="1.6640625" style="138" customWidth="1"/>
    <col min="5150" max="5150" width="3.88671875" style="138" customWidth="1"/>
    <col min="5151" max="5151" width="0.6640625" style="138" customWidth="1"/>
    <col min="5152" max="5152" width="4.5546875" style="138" customWidth="1"/>
    <col min="5153" max="5153" width="0.33203125" style="138" customWidth="1"/>
    <col min="5154" max="5154" width="4.21875" style="138" customWidth="1"/>
    <col min="5155" max="5155" width="1.33203125" style="138" customWidth="1"/>
    <col min="5156" max="5156" width="3.21875" style="138" customWidth="1"/>
    <col min="5157" max="5157" width="2.33203125" style="138" customWidth="1"/>
    <col min="5158" max="5158" width="2.21875" style="138" customWidth="1"/>
    <col min="5159" max="5159" width="3.33203125" style="138" customWidth="1"/>
    <col min="5160" max="5160" width="1.21875" style="138" customWidth="1"/>
    <col min="5161" max="5161" width="4.33203125" style="138" customWidth="1"/>
    <col min="5162" max="5162" width="0.21875" style="138" customWidth="1"/>
    <col min="5163" max="5163" width="4.5546875" style="138" customWidth="1"/>
    <col min="5164" max="5164" width="0.77734375" style="138" customWidth="1"/>
    <col min="5165" max="5166" width="11.109375" style="138" customWidth="1"/>
    <col min="5167" max="5167" width="0.21875" style="138" customWidth="1"/>
    <col min="5168" max="5168" width="10.88671875" style="138" customWidth="1"/>
    <col min="5169" max="5188" width="11.109375" style="138" customWidth="1"/>
    <col min="5189" max="5376" width="8.88671875" style="138"/>
    <col min="5377" max="5377" width="4.5546875" style="138" customWidth="1"/>
    <col min="5378" max="5378" width="1" style="138" customWidth="1"/>
    <col min="5379" max="5379" width="3.5546875" style="138" customWidth="1"/>
    <col min="5380" max="5380" width="2" style="138" customWidth="1"/>
    <col min="5381" max="5381" width="0.21875" style="138" customWidth="1"/>
    <col min="5382" max="5382" width="2.33203125" style="138" customWidth="1"/>
    <col min="5383" max="5383" width="3" style="138" customWidth="1"/>
    <col min="5384" max="5384" width="1.5546875" style="138" customWidth="1"/>
    <col min="5385" max="5385" width="4" style="138" customWidth="1"/>
    <col min="5386" max="5386" width="0.5546875" style="138" customWidth="1"/>
    <col min="5387" max="5387" width="4.5546875" style="138" customWidth="1"/>
    <col min="5388" max="5388" width="0.44140625" style="138" customWidth="1"/>
    <col min="5389" max="5389" width="4.109375" style="138" customWidth="1"/>
    <col min="5390" max="5390" width="1.44140625" style="138" customWidth="1"/>
    <col min="5391" max="5391" width="3.109375" style="138" customWidth="1"/>
    <col min="5392" max="5392" width="2.44140625" style="138" customWidth="1"/>
    <col min="5393" max="5393" width="2.109375" style="138" customWidth="1"/>
    <col min="5394" max="5394" width="3.44140625" style="138" customWidth="1"/>
    <col min="5395" max="5395" width="1.109375" style="138" customWidth="1"/>
    <col min="5396" max="5396" width="4.44140625" style="138" customWidth="1"/>
    <col min="5397" max="5397" width="0.109375" style="138" customWidth="1"/>
    <col min="5398" max="5398" width="3.21875" style="138" customWidth="1"/>
    <col min="5399" max="5399" width="1.33203125" style="138" customWidth="1"/>
    <col min="5400" max="5400" width="0.88671875" style="138" customWidth="1"/>
    <col min="5401" max="5401" width="3.6640625" style="138" customWidth="1"/>
    <col min="5402" max="5402" width="1.88671875" style="138" customWidth="1"/>
    <col min="5403" max="5403" width="2.6640625" style="138" customWidth="1"/>
    <col min="5404" max="5404" width="2.88671875" style="138" customWidth="1"/>
    <col min="5405" max="5405" width="1.6640625" style="138" customWidth="1"/>
    <col min="5406" max="5406" width="3.88671875" style="138" customWidth="1"/>
    <col min="5407" max="5407" width="0.6640625" style="138" customWidth="1"/>
    <col min="5408" max="5408" width="4.5546875" style="138" customWidth="1"/>
    <col min="5409" max="5409" width="0.33203125" style="138" customWidth="1"/>
    <col min="5410" max="5410" width="4.21875" style="138" customWidth="1"/>
    <col min="5411" max="5411" width="1.33203125" style="138" customWidth="1"/>
    <col min="5412" max="5412" width="3.21875" style="138" customWidth="1"/>
    <col min="5413" max="5413" width="2.33203125" style="138" customWidth="1"/>
    <col min="5414" max="5414" width="2.21875" style="138" customWidth="1"/>
    <col min="5415" max="5415" width="3.33203125" style="138" customWidth="1"/>
    <col min="5416" max="5416" width="1.21875" style="138" customWidth="1"/>
    <col min="5417" max="5417" width="4.33203125" style="138" customWidth="1"/>
    <col min="5418" max="5418" width="0.21875" style="138" customWidth="1"/>
    <col min="5419" max="5419" width="4.5546875" style="138" customWidth="1"/>
    <col min="5420" max="5420" width="0.77734375" style="138" customWidth="1"/>
    <col min="5421" max="5422" width="11.109375" style="138" customWidth="1"/>
    <col min="5423" max="5423" width="0.21875" style="138" customWidth="1"/>
    <col min="5424" max="5424" width="10.88671875" style="138" customWidth="1"/>
    <col min="5425" max="5444" width="11.109375" style="138" customWidth="1"/>
    <col min="5445" max="5632" width="8.88671875" style="138"/>
    <col min="5633" max="5633" width="4.5546875" style="138" customWidth="1"/>
    <col min="5634" max="5634" width="1" style="138" customWidth="1"/>
    <col min="5635" max="5635" width="3.5546875" style="138" customWidth="1"/>
    <col min="5636" max="5636" width="2" style="138" customWidth="1"/>
    <col min="5637" max="5637" width="0.21875" style="138" customWidth="1"/>
    <col min="5638" max="5638" width="2.33203125" style="138" customWidth="1"/>
    <col min="5639" max="5639" width="3" style="138" customWidth="1"/>
    <col min="5640" max="5640" width="1.5546875" style="138" customWidth="1"/>
    <col min="5641" max="5641" width="4" style="138" customWidth="1"/>
    <col min="5642" max="5642" width="0.5546875" style="138" customWidth="1"/>
    <col min="5643" max="5643" width="4.5546875" style="138" customWidth="1"/>
    <col min="5644" max="5644" width="0.44140625" style="138" customWidth="1"/>
    <col min="5645" max="5645" width="4.109375" style="138" customWidth="1"/>
    <col min="5646" max="5646" width="1.44140625" style="138" customWidth="1"/>
    <col min="5647" max="5647" width="3.109375" style="138" customWidth="1"/>
    <col min="5648" max="5648" width="2.44140625" style="138" customWidth="1"/>
    <col min="5649" max="5649" width="2.109375" style="138" customWidth="1"/>
    <col min="5650" max="5650" width="3.44140625" style="138" customWidth="1"/>
    <col min="5651" max="5651" width="1.109375" style="138" customWidth="1"/>
    <col min="5652" max="5652" width="4.44140625" style="138" customWidth="1"/>
    <col min="5653" max="5653" width="0.109375" style="138" customWidth="1"/>
    <col min="5654" max="5654" width="3.21875" style="138" customWidth="1"/>
    <col min="5655" max="5655" width="1.33203125" style="138" customWidth="1"/>
    <col min="5656" max="5656" width="0.88671875" style="138" customWidth="1"/>
    <col min="5657" max="5657" width="3.6640625" style="138" customWidth="1"/>
    <col min="5658" max="5658" width="1.88671875" style="138" customWidth="1"/>
    <col min="5659" max="5659" width="2.6640625" style="138" customWidth="1"/>
    <col min="5660" max="5660" width="2.88671875" style="138" customWidth="1"/>
    <col min="5661" max="5661" width="1.6640625" style="138" customWidth="1"/>
    <col min="5662" max="5662" width="3.88671875" style="138" customWidth="1"/>
    <col min="5663" max="5663" width="0.6640625" style="138" customWidth="1"/>
    <col min="5664" max="5664" width="4.5546875" style="138" customWidth="1"/>
    <col min="5665" max="5665" width="0.33203125" style="138" customWidth="1"/>
    <col min="5666" max="5666" width="4.21875" style="138" customWidth="1"/>
    <col min="5667" max="5667" width="1.33203125" style="138" customWidth="1"/>
    <col min="5668" max="5668" width="3.21875" style="138" customWidth="1"/>
    <col min="5669" max="5669" width="2.33203125" style="138" customWidth="1"/>
    <col min="5670" max="5670" width="2.21875" style="138" customWidth="1"/>
    <col min="5671" max="5671" width="3.33203125" style="138" customWidth="1"/>
    <col min="5672" max="5672" width="1.21875" style="138" customWidth="1"/>
    <col min="5673" max="5673" width="4.33203125" style="138" customWidth="1"/>
    <col min="5674" max="5674" width="0.21875" style="138" customWidth="1"/>
    <col min="5675" max="5675" width="4.5546875" style="138" customWidth="1"/>
    <col min="5676" max="5676" width="0.77734375" style="138" customWidth="1"/>
    <col min="5677" max="5678" width="11.109375" style="138" customWidth="1"/>
    <col min="5679" max="5679" width="0.21875" style="138" customWidth="1"/>
    <col min="5680" max="5680" width="10.88671875" style="138" customWidth="1"/>
    <col min="5681" max="5700" width="11.109375" style="138" customWidth="1"/>
    <col min="5701" max="5888" width="8.88671875" style="138"/>
    <col min="5889" max="5889" width="4.5546875" style="138" customWidth="1"/>
    <col min="5890" max="5890" width="1" style="138" customWidth="1"/>
    <col min="5891" max="5891" width="3.5546875" style="138" customWidth="1"/>
    <col min="5892" max="5892" width="2" style="138" customWidth="1"/>
    <col min="5893" max="5893" width="0.21875" style="138" customWidth="1"/>
    <col min="5894" max="5894" width="2.33203125" style="138" customWidth="1"/>
    <col min="5895" max="5895" width="3" style="138" customWidth="1"/>
    <col min="5896" max="5896" width="1.5546875" style="138" customWidth="1"/>
    <col min="5897" max="5897" width="4" style="138" customWidth="1"/>
    <col min="5898" max="5898" width="0.5546875" style="138" customWidth="1"/>
    <col min="5899" max="5899" width="4.5546875" style="138" customWidth="1"/>
    <col min="5900" max="5900" width="0.44140625" style="138" customWidth="1"/>
    <col min="5901" max="5901" width="4.109375" style="138" customWidth="1"/>
    <col min="5902" max="5902" width="1.44140625" style="138" customWidth="1"/>
    <col min="5903" max="5903" width="3.109375" style="138" customWidth="1"/>
    <col min="5904" max="5904" width="2.44140625" style="138" customWidth="1"/>
    <col min="5905" max="5905" width="2.109375" style="138" customWidth="1"/>
    <col min="5906" max="5906" width="3.44140625" style="138" customWidth="1"/>
    <col min="5907" max="5907" width="1.109375" style="138" customWidth="1"/>
    <col min="5908" max="5908" width="4.44140625" style="138" customWidth="1"/>
    <col min="5909" max="5909" width="0.109375" style="138" customWidth="1"/>
    <col min="5910" max="5910" width="3.21875" style="138" customWidth="1"/>
    <col min="5911" max="5911" width="1.33203125" style="138" customWidth="1"/>
    <col min="5912" max="5912" width="0.88671875" style="138" customWidth="1"/>
    <col min="5913" max="5913" width="3.6640625" style="138" customWidth="1"/>
    <col min="5914" max="5914" width="1.88671875" style="138" customWidth="1"/>
    <col min="5915" max="5915" width="2.6640625" style="138" customWidth="1"/>
    <col min="5916" max="5916" width="2.88671875" style="138" customWidth="1"/>
    <col min="5917" max="5917" width="1.6640625" style="138" customWidth="1"/>
    <col min="5918" max="5918" width="3.88671875" style="138" customWidth="1"/>
    <col min="5919" max="5919" width="0.6640625" style="138" customWidth="1"/>
    <col min="5920" max="5920" width="4.5546875" style="138" customWidth="1"/>
    <col min="5921" max="5921" width="0.33203125" style="138" customWidth="1"/>
    <col min="5922" max="5922" width="4.21875" style="138" customWidth="1"/>
    <col min="5923" max="5923" width="1.33203125" style="138" customWidth="1"/>
    <col min="5924" max="5924" width="3.21875" style="138" customWidth="1"/>
    <col min="5925" max="5925" width="2.33203125" style="138" customWidth="1"/>
    <col min="5926" max="5926" width="2.21875" style="138" customWidth="1"/>
    <col min="5927" max="5927" width="3.33203125" style="138" customWidth="1"/>
    <col min="5928" max="5928" width="1.21875" style="138" customWidth="1"/>
    <col min="5929" max="5929" width="4.33203125" style="138" customWidth="1"/>
    <col min="5930" max="5930" width="0.21875" style="138" customWidth="1"/>
    <col min="5931" max="5931" width="4.5546875" style="138" customWidth="1"/>
    <col min="5932" max="5932" width="0.77734375" style="138" customWidth="1"/>
    <col min="5933" max="5934" width="11.109375" style="138" customWidth="1"/>
    <col min="5935" max="5935" width="0.21875" style="138" customWidth="1"/>
    <col min="5936" max="5936" width="10.88671875" style="138" customWidth="1"/>
    <col min="5937" max="5956" width="11.109375" style="138" customWidth="1"/>
    <col min="5957" max="6144" width="8.88671875" style="138"/>
    <col min="6145" max="6145" width="4.5546875" style="138" customWidth="1"/>
    <col min="6146" max="6146" width="1" style="138" customWidth="1"/>
    <col min="6147" max="6147" width="3.5546875" style="138" customWidth="1"/>
    <col min="6148" max="6148" width="2" style="138" customWidth="1"/>
    <col min="6149" max="6149" width="0.21875" style="138" customWidth="1"/>
    <col min="6150" max="6150" width="2.33203125" style="138" customWidth="1"/>
    <col min="6151" max="6151" width="3" style="138" customWidth="1"/>
    <col min="6152" max="6152" width="1.5546875" style="138" customWidth="1"/>
    <col min="6153" max="6153" width="4" style="138" customWidth="1"/>
    <col min="6154" max="6154" width="0.5546875" style="138" customWidth="1"/>
    <col min="6155" max="6155" width="4.5546875" style="138" customWidth="1"/>
    <col min="6156" max="6156" width="0.44140625" style="138" customWidth="1"/>
    <col min="6157" max="6157" width="4.109375" style="138" customWidth="1"/>
    <col min="6158" max="6158" width="1.44140625" style="138" customWidth="1"/>
    <col min="6159" max="6159" width="3.109375" style="138" customWidth="1"/>
    <col min="6160" max="6160" width="2.44140625" style="138" customWidth="1"/>
    <col min="6161" max="6161" width="2.109375" style="138" customWidth="1"/>
    <col min="6162" max="6162" width="3.44140625" style="138" customWidth="1"/>
    <col min="6163" max="6163" width="1.109375" style="138" customWidth="1"/>
    <col min="6164" max="6164" width="4.44140625" style="138" customWidth="1"/>
    <col min="6165" max="6165" width="0.109375" style="138" customWidth="1"/>
    <col min="6166" max="6166" width="3.21875" style="138" customWidth="1"/>
    <col min="6167" max="6167" width="1.33203125" style="138" customWidth="1"/>
    <col min="6168" max="6168" width="0.88671875" style="138" customWidth="1"/>
    <col min="6169" max="6169" width="3.6640625" style="138" customWidth="1"/>
    <col min="6170" max="6170" width="1.88671875" style="138" customWidth="1"/>
    <col min="6171" max="6171" width="2.6640625" style="138" customWidth="1"/>
    <col min="6172" max="6172" width="2.88671875" style="138" customWidth="1"/>
    <col min="6173" max="6173" width="1.6640625" style="138" customWidth="1"/>
    <col min="6174" max="6174" width="3.88671875" style="138" customWidth="1"/>
    <col min="6175" max="6175" width="0.6640625" style="138" customWidth="1"/>
    <col min="6176" max="6176" width="4.5546875" style="138" customWidth="1"/>
    <col min="6177" max="6177" width="0.33203125" style="138" customWidth="1"/>
    <col min="6178" max="6178" width="4.21875" style="138" customWidth="1"/>
    <col min="6179" max="6179" width="1.33203125" style="138" customWidth="1"/>
    <col min="6180" max="6180" width="3.21875" style="138" customWidth="1"/>
    <col min="6181" max="6181" width="2.33203125" style="138" customWidth="1"/>
    <col min="6182" max="6182" width="2.21875" style="138" customWidth="1"/>
    <col min="6183" max="6183" width="3.33203125" style="138" customWidth="1"/>
    <col min="6184" max="6184" width="1.21875" style="138" customWidth="1"/>
    <col min="6185" max="6185" width="4.33203125" style="138" customWidth="1"/>
    <col min="6186" max="6186" width="0.21875" style="138" customWidth="1"/>
    <col min="6187" max="6187" width="4.5546875" style="138" customWidth="1"/>
    <col min="6188" max="6188" width="0.77734375" style="138" customWidth="1"/>
    <col min="6189" max="6190" width="11.109375" style="138" customWidth="1"/>
    <col min="6191" max="6191" width="0.21875" style="138" customWidth="1"/>
    <col min="6192" max="6192" width="10.88671875" style="138" customWidth="1"/>
    <col min="6193" max="6212" width="11.109375" style="138" customWidth="1"/>
    <col min="6213" max="6400" width="8.88671875" style="138"/>
    <col min="6401" max="6401" width="4.5546875" style="138" customWidth="1"/>
    <col min="6402" max="6402" width="1" style="138" customWidth="1"/>
    <col min="6403" max="6403" width="3.5546875" style="138" customWidth="1"/>
    <col min="6404" max="6404" width="2" style="138" customWidth="1"/>
    <col min="6405" max="6405" width="0.21875" style="138" customWidth="1"/>
    <col min="6406" max="6406" width="2.33203125" style="138" customWidth="1"/>
    <col min="6407" max="6407" width="3" style="138" customWidth="1"/>
    <col min="6408" max="6408" width="1.5546875" style="138" customWidth="1"/>
    <col min="6409" max="6409" width="4" style="138" customWidth="1"/>
    <col min="6410" max="6410" width="0.5546875" style="138" customWidth="1"/>
    <col min="6411" max="6411" width="4.5546875" style="138" customWidth="1"/>
    <col min="6412" max="6412" width="0.44140625" style="138" customWidth="1"/>
    <col min="6413" max="6413" width="4.109375" style="138" customWidth="1"/>
    <col min="6414" max="6414" width="1.44140625" style="138" customWidth="1"/>
    <col min="6415" max="6415" width="3.109375" style="138" customWidth="1"/>
    <col min="6416" max="6416" width="2.44140625" style="138" customWidth="1"/>
    <col min="6417" max="6417" width="2.109375" style="138" customWidth="1"/>
    <col min="6418" max="6418" width="3.44140625" style="138" customWidth="1"/>
    <col min="6419" max="6419" width="1.109375" style="138" customWidth="1"/>
    <col min="6420" max="6420" width="4.44140625" style="138" customWidth="1"/>
    <col min="6421" max="6421" width="0.109375" style="138" customWidth="1"/>
    <col min="6422" max="6422" width="3.21875" style="138" customWidth="1"/>
    <col min="6423" max="6423" width="1.33203125" style="138" customWidth="1"/>
    <col min="6424" max="6424" width="0.88671875" style="138" customWidth="1"/>
    <col min="6425" max="6425" width="3.6640625" style="138" customWidth="1"/>
    <col min="6426" max="6426" width="1.88671875" style="138" customWidth="1"/>
    <col min="6427" max="6427" width="2.6640625" style="138" customWidth="1"/>
    <col min="6428" max="6428" width="2.88671875" style="138" customWidth="1"/>
    <col min="6429" max="6429" width="1.6640625" style="138" customWidth="1"/>
    <col min="6430" max="6430" width="3.88671875" style="138" customWidth="1"/>
    <col min="6431" max="6431" width="0.6640625" style="138" customWidth="1"/>
    <col min="6432" max="6432" width="4.5546875" style="138" customWidth="1"/>
    <col min="6433" max="6433" width="0.33203125" style="138" customWidth="1"/>
    <col min="6434" max="6434" width="4.21875" style="138" customWidth="1"/>
    <col min="6435" max="6435" width="1.33203125" style="138" customWidth="1"/>
    <col min="6436" max="6436" width="3.21875" style="138" customWidth="1"/>
    <col min="6437" max="6437" width="2.33203125" style="138" customWidth="1"/>
    <col min="6438" max="6438" width="2.21875" style="138" customWidth="1"/>
    <col min="6439" max="6439" width="3.33203125" style="138" customWidth="1"/>
    <col min="6440" max="6440" width="1.21875" style="138" customWidth="1"/>
    <col min="6441" max="6441" width="4.33203125" style="138" customWidth="1"/>
    <col min="6442" max="6442" width="0.21875" style="138" customWidth="1"/>
    <col min="6443" max="6443" width="4.5546875" style="138" customWidth="1"/>
    <col min="6444" max="6444" width="0.77734375" style="138" customWidth="1"/>
    <col min="6445" max="6446" width="11.109375" style="138" customWidth="1"/>
    <col min="6447" max="6447" width="0.21875" style="138" customWidth="1"/>
    <col min="6448" max="6448" width="10.88671875" style="138" customWidth="1"/>
    <col min="6449" max="6468" width="11.109375" style="138" customWidth="1"/>
    <col min="6469" max="6656" width="8.88671875" style="138"/>
    <col min="6657" max="6657" width="4.5546875" style="138" customWidth="1"/>
    <col min="6658" max="6658" width="1" style="138" customWidth="1"/>
    <col min="6659" max="6659" width="3.5546875" style="138" customWidth="1"/>
    <col min="6660" max="6660" width="2" style="138" customWidth="1"/>
    <col min="6661" max="6661" width="0.21875" style="138" customWidth="1"/>
    <col min="6662" max="6662" width="2.33203125" style="138" customWidth="1"/>
    <col min="6663" max="6663" width="3" style="138" customWidth="1"/>
    <col min="6664" max="6664" width="1.5546875" style="138" customWidth="1"/>
    <col min="6665" max="6665" width="4" style="138" customWidth="1"/>
    <col min="6666" max="6666" width="0.5546875" style="138" customWidth="1"/>
    <col min="6667" max="6667" width="4.5546875" style="138" customWidth="1"/>
    <col min="6668" max="6668" width="0.44140625" style="138" customWidth="1"/>
    <col min="6669" max="6669" width="4.109375" style="138" customWidth="1"/>
    <col min="6670" max="6670" width="1.44140625" style="138" customWidth="1"/>
    <col min="6671" max="6671" width="3.109375" style="138" customWidth="1"/>
    <col min="6672" max="6672" width="2.44140625" style="138" customWidth="1"/>
    <col min="6673" max="6673" width="2.109375" style="138" customWidth="1"/>
    <col min="6674" max="6674" width="3.44140625" style="138" customWidth="1"/>
    <col min="6675" max="6675" width="1.109375" style="138" customWidth="1"/>
    <col min="6676" max="6676" width="4.44140625" style="138" customWidth="1"/>
    <col min="6677" max="6677" width="0.109375" style="138" customWidth="1"/>
    <col min="6678" max="6678" width="3.21875" style="138" customWidth="1"/>
    <col min="6679" max="6679" width="1.33203125" style="138" customWidth="1"/>
    <col min="6680" max="6680" width="0.88671875" style="138" customWidth="1"/>
    <col min="6681" max="6681" width="3.6640625" style="138" customWidth="1"/>
    <col min="6682" max="6682" width="1.88671875" style="138" customWidth="1"/>
    <col min="6683" max="6683" width="2.6640625" style="138" customWidth="1"/>
    <col min="6684" max="6684" width="2.88671875" style="138" customWidth="1"/>
    <col min="6685" max="6685" width="1.6640625" style="138" customWidth="1"/>
    <col min="6686" max="6686" width="3.88671875" style="138" customWidth="1"/>
    <col min="6687" max="6687" width="0.6640625" style="138" customWidth="1"/>
    <col min="6688" max="6688" width="4.5546875" style="138" customWidth="1"/>
    <col min="6689" max="6689" width="0.33203125" style="138" customWidth="1"/>
    <col min="6690" max="6690" width="4.21875" style="138" customWidth="1"/>
    <col min="6691" max="6691" width="1.33203125" style="138" customWidth="1"/>
    <col min="6692" max="6692" width="3.21875" style="138" customWidth="1"/>
    <col min="6693" max="6693" width="2.33203125" style="138" customWidth="1"/>
    <col min="6694" max="6694" width="2.21875" style="138" customWidth="1"/>
    <col min="6695" max="6695" width="3.33203125" style="138" customWidth="1"/>
    <col min="6696" max="6696" width="1.21875" style="138" customWidth="1"/>
    <col min="6697" max="6697" width="4.33203125" style="138" customWidth="1"/>
    <col min="6698" max="6698" width="0.21875" style="138" customWidth="1"/>
    <col min="6699" max="6699" width="4.5546875" style="138" customWidth="1"/>
    <col min="6700" max="6700" width="0.77734375" style="138" customWidth="1"/>
    <col min="6701" max="6702" width="11.109375" style="138" customWidth="1"/>
    <col min="6703" max="6703" width="0.21875" style="138" customWidth="1"/>
    <col min="6704" max="6704" width="10.88671875" style="138" customWidth="1"/>
    <col min="6705" max="6724" width="11.109375" style="138" customWidth="1"/>
    <col min="6725" max="6912" width="8.88671875" style="138"/>
    <col min="6913" max="6913" width="4.5546875" style="138" customWidth="1"/>
    <col min="6914" max="6914" width="1" style="138" customWidth="1"/>
    <col min="6915" max="6915" width="3.5546875" style="138" customWidth="1"/>
    <col min="6916" max="6916" width="2" style="138" customWidth="1"/>
    <col min="6917" max="6917" width="0.21875" style="138" customWidth="1"/>
    <col min="6918" max="6918" width="2.33203125" style="138" customWidth="1"/>
    <col min="6919" max="6919" width="3" style="138" customWidth="1"/>
    <col min="6920" max="6920" width="1.5546875" style="138" customWidth="1"/>
    <col min="6921" max="6921" width="4" style="138" customWidth="1"/>
    <col min="6922" max="6922" width="0.5546875" style="138" customWidth="1"/>
    <col min="6923" max="6923" width="4.5546875" style="138" customWidth="1"/>
    <col min="6924" max="6924" width="0.44140625" style="138" customWidth="1"/>
    <col min="6925" max="6925" width="4.109375" style="138" customWidth="1"/>
    <col min="6926" max="6926" width="1.44140625" style="138" customWidth="1"/>
    <col min="6927" max="6927" width="3.109375" style="138" customWidth="1"/>
    <col min="6928" max="6928" width="2.44140625" style="138" customWidth="1"/>
    <col min="6929" max="6929" width="2.109375" style="138" customWidth="1"/>
    <col min="6930" max="6930" width="3.44140625" style="138" customWidth="1"/>
    <col min="6931" max="6931" width="1.109375" style="138" customWidth="1"/>
    <col min="6932" max="6932" width="4.44140625" style="138" customWidth="1"/>
    <col min="6933" max="6933" width="0.109375" style="138" customWidth="1"/>
    <col min="6934" max="6934" width="3.21875" style="138" customWidth="1"/>
    <col min="6935" max="6935" width="1.33203125" style="138" customWidth="1"/>
    <col min="6936" max="6936" width="0.88671875" style="138" customWidth="1"/>
    <col min="6937" max="6937" width="3.6640625" style="138" customWidth="1"/>
    <col min="6938" max="6938" width="1.88671875" style="138" customWidth="1"/>
    <col min="6939" max="6939" width="2.6640625" style="138" customWidth="1"/>
    <col min="6940" max="6940" width="2.88671875" style="138" customWidth="1"/>
    <col min="6941" max="6941" width="1.6640625" style="138" customWidth="1"/>
    <col min="6942" max="6942" width="3.88671875" style="138" customWidth="1"/>
    <col min="6943" max="6943" width="0.6640625" style="138" customWidth="1"/>
    <col min="6944" max="6944" width="4.5546875" style="138" customWidth="1"/>
    <col min="6945" max="6945" width="0.33203125" style="138" customWidth="1"/>
    <col min="6946" max="6946" width="4.21875" style="138" customWidth="1"/>
    <col min="6947" max="6947" width="1.33203125" style="138" customWidth="1"/>
    <col min="6948" max="6948" width="3.21875" style="138" customWidth="1"/>
    <col min="6949" max="6949" width="2.33203125" style="138" customWidth="1"/>
    <col min="6950" max="6950" width="2.21875" style="138" customWidth="1"/>
    <col min="6951" max="6951" width="3.33203125" style="138" customWidth="1"/>
    <col min="6952" max="6952" width="1.21875" style="138" customWidth="1"/>
    <col min="6953" max="6953" width="4.33203125" style="138" customWidth="1"/>
    <col min="6954" max="6954" width="0.21875" style="138" customWidth="1"/>
    <col min="6955" max="6955" width="4.5546875" style="138" customWidth="1"/>
    <col min="6956" max="6956" width="0.77734375" style="138" customWidth="1"/>
    <col min="6957" max="6958" width="11.109375" style="138" customWidth="1"/>
    <col min="6959" max="6959" width="0.21875" style="138" customWidth="1"/>
    <col min="6960" max="6960" width="10.88671875" style="138" customWidth="1"/>
    <col min="6961" max="6980" width="11.109375" style="138" customWidth="1"/>
    <col min="6981" max="7168" width="8.88671875" style="138"/>
    <col min="7169" max="7169" width="4.5546875" style="138" customWidth="1"/>
    <col min="7170" max="7170" width="1" style="138" customWidth="1"/>
    <col min="7171" max="7171" width="3.5546875" style="138" customWidth="1"/>
    <col min="7172" max="7172" width="2" style="138" customWidth="1"/>
    <col min="7173" max="7173" width="0.21875" style="138" customWidth="1"/>
    <col min="7174" max="7174" width="2.33203125" style="138" customWidth="1"/>
    <col min="7175" max="7175" width="3" style="138" customWidth="1"/>
    <col min="7176" max="7176" width="1.5546875" style="138" customWidth="1"/>
    <col min="7177" max="7177" width="4" style="138" customWidth="1"/>
    <col min="7178" max="7178" width="0.5546875" style="138" customWidth="1"/>
    <col min="7179" max="7179" width="4.5546875" style="138" customWidth="1"/>
    <col min="7180" max="7180" width="0.44140625" style="138" customWidth="1"/>
    <col min="7181" max="7181" width="4.109375" style="138" customWidth="1"/>
    <col min="7182" max="7182" width="1.44140625" style="138" customWidth="1"/>
    <col min="7183" max="7183" width="3.109375" style="138" customWidth="1"/>
    <col min="7184" max="7184" width="2.44140625" style="138" customWidth="1"/>
    <col min="7185" max="7185" width="2.109375" style="138" customWidth="1"/>
    <col min="7186" max="7186" width="3.44140625" style="138" customWidth="1"/>
    <col min="7187" max="7187" width="1.109375" style="138" customWidth="1"/>
    <col min="7188" max="7188" width="4.44140625" style="138" customWidth="1"/>
    <col min="7189" max="7189" width="0.109375" style="138" customWidth="1"/>
    <col min="7190" max="7190" width="3.21875" style="138" customWidth="1"/>
    <col min="7191" max="7191" width="1.33203125" style="138" customWidth="1"/>
    <col min="7192" max="7192" width="0.88671875" style="138" customWidth="1"/>
    <col min="7193" max="7193" width="3.6640625" style="138" customWidth="1"/>
    <col min="7194" max="7194" width="1.88671875" style="138" customWidth="1"/>
    <col min="7195" max="7195" width="2.6640625" style="138" customWidth="1"/>
    <col min="7196" max="7196" width="2.88671875" style="138" customWidth="1"/>
    <col min="7197" max="7197" width="1.6640625" style="138" customWidth="1"/>
    <col min="7198" max="7198" width="3.88671875" style="138" customWidth="1"/>
    <col min="7199" max="7199" width="0.6640625" style="138" customWidth="1"/>
    <col min="7200" max="7200" width="4.5546875" style="138" customWidth="1"/>
    <col min="7201" max="7201" width="0.33203125" style="138" customWidth="1"/>
    <col min="7202" max="7202" width="4.21875" style="138" customWidth="1"/>
    <col min="7203" max="7203" width="1.33203125" style="138" customWidth="1"/>
    <col min="7204" max="7204" width="3.21875" style="138" customWidth="1"/>
    <col min="7205" max="7205" width="2.33203125" style="138" customWidth="1"/>
    <col min="7206" max="7206" width="2.21875" style="138" customWidth="1"/>
    <col min="7207" max="7207" width="3.33203125" style="138" customWidth="1"/>
    <col min="7208" max="7208" width="1.21875" style="138" customWidth="1"/>
    <col min="7209" max="7209" width="4.33203125" style="138" customWidth="1"/>
    <col min="7210" max="7210" width="0.21875" style="138" customWidth="1"/>
    <col min="7211" max="7211" width="4.5546875" style="138" customWidth="1"/>
    <col min="7212" max="7212" width="0.77734375" style="138" customWidth="1"/>
    <col min="7213" max="7214" width="11.109375" style="138" customWidth="1"/>
    <col min="7215" max="7215" width="0.21875" style="138" customWidth="1"/>
    <col min="7216" max="7216" width="10.88671875" style="138" customWidth="1"/>
    <col min="7217" max="7236" width="11.109375" style="138" customWidth="1"/>
    <col min="7237" max="7424" width="8.88671875" style="138"/>
    <col min="7425" max="7425" width="4.5546875" style="138" customWidth="1"/>
    <col min="7426" max="7426" width="1" style="138" customWidth="1"/>
    <col min="7427" max="7427" width="3.5546875" style="138" customWidth="1"/>
    <col min="7428" max="7428" width="2" style="138" customWidth="1"/>
    <col min="7429" max="7429" width="0.21875" style="138" customWidth="1"/>
    <col min="7430" max="7430" width="2.33203125" style="138" customWidth="1"/>
    <col min="7431" max="7431" width="3" style="138" customWidth="1"/>
    <col min="7432" max="7432" width="1.5546875" style="138" customWidth="1"/>
    <col min="7433" max="7433" width="4" style="138" customWidth="1"/>
    <col min="7434" max="7434" width="0.5546875" style="138" customWidth="1"/>
    <col min="7435" max="7435" width="4.5546875" style="138" customWidth="1"/>
    <col min="7436" max="7436" width="0.44140625" style="138" customWidth="1"/>
    <col min="7437" max="7437" width="4.109375" style="138" customWidth="1"/>
    <col min="7438" max="7438" width="1.44140625" style="138" customWidth="1"/>
    <col min="7439" max="7439" width="3.109375" style="138" customWidth="1"/>
    <col min="7440" max="7440" width="2.44140625" style="138" customWidth="1"/>
    <col min="7441" max="7441" width="2.109375" style="138" customWidth="1"/>
    <col min="7442" max="7442" width="3.44140625" style="138" customWidth="1"/>
    <col min="7443" max="7443" width="1.109375" style="138" customWidth="1"/>
    <col min="7444" max="7444" width="4.44140625" style="138" customWidth="1"/>
    <col min="7445" max="7445" width="0.109375" style="138" customWidth="1"/>
    <col min="7446" max="7446" width="3.21875" style="138" customWidth="1"/>
    <col min="7447" max="7447" width="1.33203125" style="138" customWidth="1"/>
    <col min="7448" max="7448" width="0.88671875" style="138" customWidth="1"/>
    <col min="7449" max="7449" width="3.6640625" style="138" customWidth="1"/>
    <col min="7450" max="7450" width="1.88671875" style="138" customWidth="1"/>
    <col min="7451" max="7451" width="2.6640625" style="138" customWidth="1"/>
    <col min="7452" max="7452" width="2.88671875" style="138" customWidth="1"/>
    <col min="7453" max="7453" width="1.6640625" style="138" customWidth="1"/>
    <col min="7454" max="7454" width="3.88671875" style="138" customWidth="1"/>
    <col min="7455" max="7455" width="0.6640625" style="138" customWidth="1"/>
    <col min="7456" max="7456" width="4.5546875" style="138" customWidth="1"/>
    <col min="7457" max="7457" width="0.33203125" style="138" customWidth="1"/>
    <col min="7458" max="7458" width="4.21875" style="138" customWidth="1"/>
    <col min="7459" max="7459" width="1.33203125" style="138" customWidth="1"/>
    <col min="7460" max="7460" width="3.21875" style="138" customWidth="1"/>
    <col min="7461" max="7461" width="2.33203125" style="138" customWidth="1"/>
    <col min="7462" max="7462" width="2.21875" style="138" customWidth="1"/>
    <col min="7463" max="7463" width="3.33203125" style="138" customWidth="1"/>
    <col min="7464" max="7464" width="1.21875" style="138" customWidth="1"/>
    <col min="7465" max="7465" width="4.33203125" style="138" customWidth="1"/>
    <col min="7466" max="7466" width="0.21875" style="138" customWidth="1"/>
    <col min="7467" max="7467" width="4.5546875" style="138" customWidth="1"/>
    <col min="7468" max="7468" width="0.77734375" style="138" customWidth="1"/>
    <col min="7469" max="7470" width="11.109375" style="138" customWidth="1"/>
    <col min="7471" max="7471" width="0.21875" style="138" customWidth="1"/>
    <col min="7472" max="7472" width="10.88671875" style="138" customWidth="1"/>
    <col min="7473" max="7492" width="11.109375" style="138" customWidth="1"/>
    <col min="7493" max="7680" width="8.88671875" style="138"/>
    <col min="7681" max="7681" width="4.5546875" style="138" customWidth="1"/>
    <col min="7682" max="7682" width="1" style="138" customWidth="1"/>
    <col min="7683" max="7683" width="3.5546875" style="138" customWidth="1"/>
    <col min="7684" max="7684" width="2" style="138" customWidth="1"/>
    <col min="7685" max="7685" width="0.21875" style="138" customWidth="1"/>
    <col min="7686" max="7686" width="2.33203125" style="138" customWidth="1"/>
    <col min="7687" max="7687" width="3" style="138" customWidth="1"/>
    <col min="7688" max="7688" width="1.5546875" style="138" customWidth="1"/>
    <col min="7689" max="7689" width="4" style="138" customWidth="1"/>
    <col min="7690" max="7690" width="0.5546875" style="138" customWidth="1"/>
    <col min="7691" max="7691" width="4.5546875" style="138" customWidth="1"/>
    <col min="7692" max="7692" width="0.44140625" style="138" customWidth="1"/>
    <col min="7693" max="7693" width="4.109375" style="138" customWidth="1"/>
    <col min="7694" max="7694" width="1.44140625" style="138" customWidth="1"/>
    <col min="7695" max="7695" width="3.109375" style="138" customWidth="1"/>
    <col min="7696" max="7696" width="2.44140625" style="138" customWidth="1"/>
    <col min="7697" max="7697" width="2.109375" style="138" customWidth="1"/>
    <col min="7698" max="7698" width="3.44140625" style="138" customWidth="1"/>
    <col min="7699" max="7699" width="1.109375" style="138" customWidth="1"/>
    <col min="7700" max="7700" width="4.44140625" style="138" customWidth="1"/>
    <col min="7701" max="7701" width="0.109375" style="138" customWidth="1"/>
    <col min="7702" max="7702" width="3.21875" style="138" customWidth="1"/>
    <col min="7703" max="7703" width="1.33203125" style="138" customWidth="1"/>
    <col min="7704" max="7704" width="0.88671875" style="138" customWidth="1"/>
    <col min="7705" max="7705" width="3.6640625" style="138" customWidth="1"/>
    <col min="7706" max="7706" width="1.88671875" style="138" customWidth="1"/>
    <col min="7707" max="7707" width="2.6640625" style="138" customWidth="1"/>
    <col min="7708" max="7708" width="2.88671875" style="138" customWidth="1"/>
    <col min="7709" max="7709" width="1.6640625" style="138" customWidth="1"/>
    <col min="7710" max="7710" width="3.88671875" style="138" customWidth="1"/>
    <col min="7711" max="7711" width="0.6640625" style="138" customWidth="1"/>
    <col min="7712" max="7712" width="4.5546875" style="138" customWidth="1"/>
    <col min="7713" max="7713" width="0.33203125" style="138" customWidth="1"/>
    <col min="7714" max="7714" width="4.21875" style="138" customWidth="1"/>
    <col min="7715" max="7715" width="1.33203125" style="138" customWidth="1"/>
    <col min="7716" max="7716" width="3.21875" style="138" customWidth="1"/>
    <col min="7717" max="7717" width="2.33203125" style="138" customWidth="1"/>
    <col min="7718" max="7718" width="2.21875" style="138" customWidth="1"/>
    <col min="7719" max="7719" width="3.33203125" style="138" customWidth="1"/>
    <col min="7720" max="7720" width="1.21875" style="138" customWidth="1"/>
    <col min="7721" max="7721" width="4.33203125" style="138" customWidth="1"/>
    <col min="7722" max="7722" width="0.21875" style="138" customWidth="1"/>
    <col min="7723" max="7723" width="4.5546875" style="138" customWidth="1"/>
    <col min="7724" max="7724" width="0.77734375" style="138" customWidth="1"/>
    <col min="7725" max="7726" width="11.109375" style="138" customWidth="1"/>
    <col min="7727" max="7727" width="0.21875" style="138" customWidth="1"/>
    <col min="7728" max="7728" width="10.88671875" style="138" customWidth="1"/>
    <col min="7729" max="7748" width="11.109375" style="138" customWidth="1"/>
    <col min="7749" max="7936" width="8.88671875" style="138"/>
    <col min="7937" max="7937" width="4.5546875" style="138" customWidth="1"/>
    <col min="7938" max="7938" width="1" style="138" customWidth="1"/>
    <col min="7939" max="7939" width="3.5546875" style="138" customWidth="1"/>
    <col min="7940" max="7940" width="2" style="138" customWidth="1"/>
    <col min="7941" max="7941" width="0.21875" style="138" customWidth="1"/>
    <col min="7942" max="7942" width="2.33203125" style="138" customWidth="1"/>
    <col min="7943" max="7943" width="3" style="138" customWidth="1"/>
    <col min="7944" max="7944" width="1.5546875" style="138" customWidth="1"/>
    <col min="7945" max="7945" width="4" style="138" customWidth="1"/>
    <col min="7946" max="7946" width="0.5546875" style="138" customWidth="1"/>
    <col min="7947" max="7947" width="4.5546875" style="138" customWidth="1"/>
    <col min="7948" max="7948" width="0.44140625" style="138" customWidth="1"/>
    <col min="7949" max="7949" width="4.109375" style="138" customWidth="1"/>
    <col min="7950" max="7950" width="1.44140625" style="138" customWidth="1"/>
    <col min="7951" max="7951" width="3.109375" style="138" customWidth="1"/>
    <col min="7952" max="7952" width="2.44140625" style="138" customWidth="1"/>
    <col min="7953" max="7953" width="2.109375" style="138" customWidth="1"/>
    <col min="7954" max="7954" width="3.44140625" style="138" customWidth="1"/>
    <col min="7955" max="7955" width="1.109375" style="138" customWidth="1"/>
    <col min="7956" max="7956" width="4.44140625" style="138" customWidth="1"/>
    <col min="7957" max="7957" width="0.109375" style="138" customWidth="1"/>
    <col min="7958" max="7958" width="3.21875" style="138" customWidth="1"/>
    <col min="7959" max="7959" width="1.33203125" style="138" customWidth="1"/>
    <col min="7960" max="7960" width="0.88671875" style="138" customWidth="1"/>
    <col min="7961" max="7961" width="3.6640625" style="138" customWidth="1"/>
    <col min="7962" max="7962" width="1.88671875" style="138" customWidth="1"/>
    <col min="7963" max="7963" width="2.6640625" style="138" customWidth="1"/>
    <col min="7964" max="7964" width="2.88671875" style="138" customWidth="1"/>
    <col min="7965" max="7965" width="1.6640625" style="138" customWidth="1"/>
    <col min="7966" max="7966" width="3.88671875" style="138" customWidth="1"/>
    <col min="7967" max="7967" width="0.6640625" style="138" customWidth="1"/>
    <col min="7968" max="7968" width="4.5546875" style="138" customWidth="1"/>
    <col min="7969" max="7969" width="0.33203125" style="138" customWidth="1"/>
    <col min="7970" max="7970" width="4.21875" style="138" customWidth="1"/>
    <col min="7971" max="7971" width="1.33203125" style="138" customWidth="1"/>
    <col min="7972" max="7972" width="3.21875" style="138" customWidth="1"/>
    <col min="7973" max="7973" width="2.33203125" style="138" customWidth="1"/>
    <col min="7974" max="7974" width="2.21875" style="138" customWidth="1"/>
    <col min="7975" max="7975" width="3.33203125" style="138" customWidth="1"/>
    <col min="7976" max="7976" width="1.21875" style="138" customWidth="1"/>
    <col min="7977" max="7977" width="4.33203125" style="138" customWidth="1"/>
    <col min="7978" max="7978" width="0.21875" style="138" customWidth="1"/>
    <col min="7979" max="7979" width="4.5546875" style="138" customWidth="1"/>
    <col min="7980" max="7980" width="0.77734375" style="138" customWidth="1"/>
    <col min="7981" max="7982" width="11.109375" style="138" customWidth="1"/>
    <col min="7983" max="7983" width="0.21875" style="138" customWidth="1"/>
    <col min="7984" max="7984" width="10.88671875" style="138" customWidth="1"/>
    <col min="7985" max="8004" width="11.109375" style="138" customWidth="1"/>
    <col min="8005" max="8192" width="8.88671875" style="138"/>
    <col min="8193" max="8193" width="4.5546875" style="138" customWidth="1"/>
    <col min="8194" max="8194" width="1" style="138" customWidth="1"/>
    <col min="8195" max="8195" width="3.5546875" style="138" customWidth="1"/>
    <col min="8196" max="8196" width="2" style="138" customWidth="1"/>
    <col min="8197" max="8197" width="0.21875" style="138" customWidth="1"/>
    <col min="8198" max="8198" width="2.33203125" style="138" customWidth="1"/>
    <col min="8199" max="8199" width="3" style="138" customWidth="1"/>
    <col min="8200" max="8200" width="1.5546875" style="138" customWidth="1"/>
    <col min="8201" max="8201" width="4" style="138" customWidth="1"/>
    <col min="8202" max="8202" width="0.5546875" style="138" customWidth="1"/>
    <col min="8203" max="8203" width="4.5546875" style="138" customWidth="1"/>
    <col min="8204" max="8204" width="0.44140625" style="138" customWidth="1"/>
    <col min="8205" max="8205" width="4.109375" style="138" customWidth="1"/>
    <col min="8206" max="8206" width="1.44140625" style="138" customWidth="1"/>
    <col min="8207" max="8207" width="3.109375" style="138" customWidth="1"/>
    <col min="8208" max="8208" width="2.44140625" style="138" customWidth="1"/>
    <col min="8209" max="8209" width="2.109375" style="138" customWidth="1"/>
    <col min="8210" max="8210" width="3.44140625" style="138" customWidth="1"/>
    <col min="8211" max="8211" width="1.109375" style="138" customWidth="1"/>
    <col min="8212" max="8212" width="4.44140625" style="138" customWidth="1"/>
    <col min="8213" max="8213" width="0.109375" style="138" customWidth="1"/>
    <col min="8214" max="8214" width="3.21875" style="138" customWidth="1"/>
    <col min="8215" max="8215" width="1.33203125" style="138" customWidth="1"/>
    <col min="8216" max="8216" width="0.88671875" style="138" customWidth="1"/>
    <col min="8217" max="8217" width="3.6640625" style="138" customWidth="1"/>
    <col min="8218" max="8218" width="1.88671875" style="138" customWidth="1"/>
    <col min="8219" max="8219" width="2.6640625" style="138" customWidth="1"/>
    <col min="8220" max="8220" width="2.88671875" style="138" customWidth="1"/>
    <col min="8221" max="8221" width="1.6640625" style="138" customWidth="1"/>
    <col min="8222" max="8222" width="3.88671875" style="138" customWidth="1"/>
    <col min="8223" max="8223" width="0.6640625" style="138" customWidth="1"/>
    <col min="8224" max="8224" width="4.5546875" style="138" customWidth="1"/>
    <col min="8225" max="8225" width="0.33203125" style="138" customWidth="1"/>
    <col min="8226" max="8226" width="4.21875" style="138" customWidth="1"/>
    <col min="8227" max="8227" width="1.33203125" style="138" customWidth="1"/>
    <col min="8228" max="8228" width="3.21875" style="138" customWidth="1"/>
    <col min="8229" max="8229" width="2.33203125" style="138" customWidth="1"/>
    <col min="8230" max="8230" width="2.21875" style="138" customWidth="1"/>
    <col min="8231" max="8231" width="3.33203125" style="138" customWidth="1"/>
    <col min="8232" max="8232" width="1.21875" style="138" customWidth="1"/>
    <col min="8233" max="8233" width="4.33203125" style="138" customWidth="1"/>
    <col min="8234" max="8234" width="0.21875" style="138" customWidth="1"/>
    <col min="8235" max="8235" width="4.5546875" style="138" customWidth="1"/>
    <col min="8236" max="8236" width="0.77734375" style="138" customWidth="1"/>
    <col min="8237" max="8238" width="11.109375" style="138" customWidth="1"/>
    <col min="8239" max="8239" width="0.21875" style="138" customWidth="1"/>
    <col min="8240" max="8240" width="10.88671875" style="138" customWidth="1"/>
    <col min="8241" max="8260" width="11.109375" style="138" customWidth="1"/>
    <col min="8261" max="8448" width="8.88671875" style="138"/>
    <col min="8449" max="8449" width="4.5546875" style="138" customWidth="1"/>
    <col min="8450" max="8450" width="1" style="138" customWidth="1"/>
    <col min="8451" max="8451" width="3.5546875" style="138" customWidth="1"/>
    <col min="8452" max="8452" width="2" style="138" customWidth="1"/>
    <col min="8453" max="8453" width="0.21875" style="138" customWidth="1"/>
    <col min="8454" max="8454" width="2.33203125" style="138" customWidth="1"/>
    <col min="8455" max="8455" width="3" style="138" customWidth="1"/>
    <col min="8456" max="8456" width="1.5546875" style="138" customWidth="1"/>
    <col min="8457" max="8457" width="4" style="138" customWidth="1"/>
    <col min="8458" max="8458" width="0.5546875" style="138" customWidth="1"/>
    <col min="8459" max="8459" width="4.5546875" style="138" customWidth="1"/>
    <col min="8460" max="8460" width="0.44140625" style="138" customWidth="1"/>
    <col min="8461" max="8461" width="4.109375" style="138" customWidth="1"/>
    <col min="8462" max="8462" width="1.44140625" style="138" customWidth="1"/>
    <col min="8463" max="8463" width="3.109375" style="138" customWidth="1"/>
    <col min="8464" max="8464" width="2.44140625" style="138" customWidth="1"/>
    <col min="8465" max="8465" width="2.109375" style="138" customWidth="1"/>
    <col min="8466" max="8466" width="3.44140625" style="138" customWidth="1"/>
    <col min="8467" max="8467" width="1.109375" style="138" customWidth="1"/>
    <col min="8468" max="8468" width="4.44140625" style="138" customWidth="1"/>
    <col min="8469" max="8469" width="0.109375" style="138" customWidth="1"/>
    <col min="8470" max="8470" width="3.21875" style="138" customWidth="1"/>
    <col min="8471" max="8471" width="1.33203125" style="138" customWidth="1"/>
    <col min="8472" max="8472" width="0.88671875" style="138" customWidth="1"/>
    <col min="8473" max="8473" width="3.6640625" style="138" customWidth="1"/>
    <col min="8474" max="8474" width="1.88671875" style="138" customWidth="1"/>
    <col min="8475" max="8475" width="2.6640625" style="138" customWidth="1"/>
    <col min="8476" max="8476" width="2.88671875" style="138" customWidth="1"/>
    <col min="8477" max="8477" width="1.6640625" style="138" customWidth="1"/>
    <col min="8478" max="8478" width="3.88671875" style="138" customWidth="1"/>
    <col min="8479" max="8479" width="0.6640625" style="138" customWidth="1"/>
    <col min="8480" max="8480" width="4.5546875" style="138" customWidth="1"/>
    <col min="8481" max="8481" width="0.33203125" style="138" customWidth="1"/>
    <col min="8482" max="8482" width="4.21875" style="138" customWidth="1"/>
    <col min="8483" max="8483" width="1.33203125" style="138" customWidth="1"/>
    <col min="8484" max="8484" width="3.21875" style="138" customWidth="1"/>
    <col min="8485" max="8485" width="2.33203125" style="138" customWidth="1"/>
    <col min="8486" max="8486" width="2.21875" style="138" customWidth="1"/>
    <col min="8487" max="8487" width="3.33203125" style="138" customWidth="1"/>
    <col min="8488" max="8488" width="1.21875" style="138" customWidth="1"/>
    <col min="8489" max="8489" width="4.33203125" style="138" customWidth="1"/>
    <col min="8490" max="8490" width="0.21875" style="138" customWidth="1"/>
    <col min="8491" max="8491" width="4.5546875" style="138" customWidth="1"/>
    <col min="8492" max="8492" width="0.77734375" style="138" customWidth="1"/>
    <col min="8493" max="8494" width="11.109375" style="138" customWidth="1"/>
    <col min="8495" max="8495" width="0.21875" style="138" customWidth="1"/>
    <col min="8496" max="8496" width="10.88671875" style="138" customWidth="1"/>
    <col min="8497" max="8516" width="11.109375" style="138" customWidth="1"/>
    <col min="8517" max="8704" width="8.88671875" style="138"/>
    <col min="8705" max="8705" width="4.5546875" style="138" customWidth="1"/>
    <col min="8706" max="8706" width="1" style="138" customWidth="1"/>
    <col min="8707" max="8707" width="3.5546875" style="138" customWidth="1"/>
    <col min="8708" max="8708" width="2" style="138" customWidth="1"/>
    <col min="8709" max="8709" width="0.21875" style="138" customWidth="1"/>
    <col min="8710" max="8710" width="2.33203125" style="138" customWidth="1"/>
    <col min="8711" max="8711" width="3" style="138" customWidth="1"/>
    <col min="8712" max="8712" width="1.5546875" style="138" customWidth="1"/>
    <col min="8713" max="8713" width="4" style="138" customWidth="1"/>
    <col min="8714" max="8714" width="0.5546875" style="138" customWidth="1"/>
    <col min="8715" max="8715" width="4.5546875" style="138" customWidth="1"/>
    <col min="8716" max="8716" width="0.44140625" style="138" customWidth="1"/>
    <col min="8717" max="8717" width="4.109375" style="138" customWidth="1"/>
    <col min="8718" max="8718" width="1.44140625" style="138" customWidth="1"/>
    <col min="8719" max="8719" width="3.109375" style="138" customWidth="1"/>
    <col min="8720" max="8720" width="2.44140625" style="138" customWidth="1"/>
    <col min="8721" max="8721" width="2.109375" style="138" customWidth="1"/>
    <col min="8722" max="8722" width="3.44140625" style="138" customWidth="1"/>
    <col min="8723" max="8723" width="1.109375" style="138" customWidth="1"/>
    <col min="8724" max="8724" width="4.44140625" style="138" customWidth="1"/>
    <col min="8725" max="8725" width="0.109375" style="138" customWidth="1"/>
    <col min="8726" max="8726" width="3.21875" style="138" customWidth="1"/>
    <col min="8727" max="8727" width="1.33203125" style="138" customWidth="1"/>
    <col min="8728" max="8728" width="0.88671875" style="138" customWidth="1"/>
    <col min="8729" max="8729" width="3.6640625" style="138" customWidth="1"/>
    <col min="8730" max="8730" width="1.88671875" style="138" customWidth="1"/>
    <col min="8731" max="8731" width="2.6640625" style="138" customWidth="1"/>
    <col min="8732" max="8732" width="2.88671875" style="138" customWidth="1"/>
    <col min="8733" max="8733" width="1.6640625" style="138" customWidth="1"/>
    <col min="8734" max="8734" width="3.88671875" style="138" customWidth="1"/>
    <col min="8735" max="8735" width="0.6640625" style="138" customWidth="1"/>
    <col min="8736" max="8736" width="4.5546875" style="138" customWidth="1"/>
    <col min="8737" max="8737" width="0.33203125" style="138" customWidth="1"/>
    <col min="8738" max="8738" width="4.21875" style="138" customWidth="1"/>
    <col min="8739" max="8739" width="1.33203125" style="138" customWidth="1"/>
    <col min="8740" max="8740" width="3.21875" style="138" customWidth="1"/>
    <col min="8741" max="8741" width="2.33203125" style="138" customWidth="1"/>
    <col min="8742" max="8742" width="2.21875" style="138" customWidth="1"/>
    <col min="8743" max="8743" width="3.33203125" style="138" customWidth="1"/>
    <col min="8744" max="8744" width="1.21875" style="138" customWidth="1"/>
    <col min="8745" max="8745" width="4.33203125" style="138" customWidth="1"/>
    <col min="8746" max="8746" width="0.21875" style="138" customWidth="1"/>
    <col min="8747" max="8747" width="4.5546875" style="138" customWidth="1"/>
    <col min="8748" max="8748" width="0.77734375" style="138" customWidth="1"/>
    <col min="8749" max="8750" width="11.109375" style="138" customWidth="1"/>
    <col min="8751" max="8751" width="0.21875" style="138" customWidth="1"/>
    <col min="8752" max="8752" width="10.88671875" style="138" customWidth="1"/>
    <col min="8753" max="8772" width="11.109375" style="138" customWidth="1"/>
    <col min="8773" max="8960" width="8.88671875" style="138"/>
    <col min="8961" max="8961" width="4.5546875" style="138" customWidth="1"/>
    <col min="8962" max="8962" width="1" style="138" customWidth="1"/>
    <col min="8963" max="8963" width="3.5546875" style="138" customWidth="1"/>
    <col min="8964" max="8964" width="2" style="138" customWidth="1"/>
    <col min="8965" max="8965" width="0.21875" style="138" customWidth="1"/>
    <col min="8966" max="8966" width="2.33203125" style="138" customWidth="1"/>
    <col min="8967" max="8967" width="3" style="138" customWidth="1"/>
    <col min="8968" max="8968" width="1.5546875" style="138" customWidth="1"/>
    <col min="8969" max="8969" width="4" style="138" customWidth="1"/>
    <col min="8970" max="8970" width="0.5546875" style="138" customWidth="1"/>
    <col min="8971" max="8971" width="4.5546875" style="138" customWidth="1"/>
    <col min="8972" max="8972" width="0.44140625" style="138" customWidth="1"/>
    <col min="8973" max="8973" width="4.109375" style="138" customWidth="1"/>
    <col min="8974" max="8974" width="1.44140625" style="138" customWidth="1"/>
    <col min="8975" max="8975" width="3.109375" style="138" customWidth="1"/>
    <col min="8976" max="8976" width="2.44140625" style="138" customWidth="1"/>
    <col min="8977" max="8977" width="2.109375" style="138" customWidth="1"/>
    <col min="8978" max="8978" width="3.44140625" style="138" customWidth="1"/>
    <col min="8979" max="8979" width="1.109375" style="138" customWidth="1"/>
    <col min="8980" max="8980" width="4.44140625" style="138" customWidth="1"/>
    <col min="8981" max="8981" width="0.109375" style="138" customWidth="1"/>
    <col min="8982" max="8982" width="3.21875" style="138" customWidth="1"/>
    <col min="8983" max="8983" width="1.33203125" style="138" customWidth="1"/>
    <col min="8984" max="8984" width="0.88671875" style="138" customWidth="1"/>
    <col min="8985" max="8985" width="3.6640625" style="138" customWidth="1"/>
    <col min="8986" max="8986" width="1.88671875" style="138" customWidth="1"/>
    <col min="8987" max="8987" width="2.6640625" style="138" customWidth="1"/>
    <col min="8988" max="8988" width="2.88671875" style="138" customWidth="1"/>
    <col min="8989" max="8989" width="1.6640625" style="138" customWidth="1"/>
    <col min="8990" max="8990" width="3.88671875" style="138" customWidth="1"/>
    <col min="8991" max="8991" width="0.6640625" style="138" customWidth="1"/>
    <col min="8992" max="8992" width="4.5546875" style="138" customWidth="1"/>
    <col min="8993" max="8993" width="0.33203125" style="138" customWidth="1"/>
    <col min="8994" max="8994" width="4.21875" style="138" customWidth="1"/>
    <col min="8995" max="8995" width="1.33203125" style="138" customWidth="1"/>
    <col min="8996" max="8996" width="3.21875" style="138" customWidth="1"/>
    <col min="8997" max="8997" width="2.33203125" style="138" customWidth="1"/>
    <col min="8998" max="8998" width="2.21875" style="138" customWidth="1"/>
    <col min="8999" max="8999" width="3.33203125" style="138" customWidth="1"/>
    <col min="9000" max="9000" width="1.21875" style="138" customWidth="1"/>
    <col min="9001" max="9001" width="4.33203125" style="138" customWidth="1"/>
    <col min="9002" max="9002" width="0.21875" style="138" customWidth="1"/>
    <col min="9003" max="9003" width="4.5546875" style="138" customWidth="1"/>
    <col min="9004" max="9004" width="0.77734375" style="138" customWidth="1"/>
    <col min="9005" max="9006" width="11.109375" style="138" customWidth="1"/>
    <col min="9007" max="9007" width="0.21875" style="138" customWidth="1"/>
    <col min="9008" max="9008" width="10.88671875" style="138" customWidth="1"/>
    <col min="9009" max="9028" width="11.109375" style="138" customWidth="1"/>
    <col min="9029" max="9216" width="8.88671875" style="138"/>
    <col min="9217" max="9217" width="4.5546875" style="138" customWidth="1"/>
    <col min="9218" max="9218" width="1" style="138" customWidth="1"/>
    <col min="9219" max="9219" width="3.5546875" style="138" customWidth="1"/>
    <col min="9220" max="9220" width="2" style="138" customWidth="1"/>
    <col min="9221" max="9221" width="0.21875" style="138" customWidth="1"/>
    <col min="9222" max="9222" width="2.33203125" style="138" customWidth="1"/>
    <col min="9223" max="9223" width="3" style="138" customWidth="1"/>
    <col min="9224" max="9224" width="1.5546875" style="138" customWidth="1"/>
    <col min="9225" max="9225" width="4" style="138" customWidth="1"/>
    <col min="9226" max="9226" width="0.5546875" style="138" customWidth="1"/>
    <col min="9227" max="9227" width="4.5546875" style="138" customWidth="1"/>
    <col min="9228" max="9228" width="0.44140625" style="138" customWidth="1"/>
    <col min="9229" max="9229" width="4.109375" style="138" customWidth="1"/>
    <col min="9230" max="9230" width="1.44140625" style="138" customWidth="1"/>
    <col min="9231" max="9231" width="3.109375" style="138" customWidth="1"/>
    <col min="9232" max="9232" width="2.44140625" style="138" customWidth="1"/>
    <col min="9233" max="9233" width="2.109375" style="138" customWidth="1"/>
    <col min="9234" max="9234" width="3.44140625" style="138" customWidth="1"/>
    <col min="9235" max="9235" width="1.109375" style="138" customWidth="1"/>
    <col min="9236" max="9236" width="4.44140625" style="138" customWidth="1"/>
    <col min="9237" max="9237" width="0.109375" style="138" customWidth="1"/>
    <col min="9238" max="9238" width="3.21875" style="138" customWidth="1"/>
    <col min="9239" max="9239" width="1.33203125" style="138" customWidth="1"/>
    <col min="9240" max="9240" width="0.88671875" style="138" customWidth="1"/>
    <col min="9241" max="9241" width="3.6640625" style="138" customWidth="1"/>
    <col min="9242" max="9242" width="1.88671875" style="138" customWidth="1"/>
    <col min="9243" max="9243" width="2.6640625" style="138" customWidth="1"/>
    <col min="9244" max="9244" width="2.88671875" style="138" customWidth="1"/>
    <col min="9245" max="9245" width="1.6640625" style="138" customWidth="1"/>
    <col min="9246" max="9246" width="3.88671875" style="138" customWidth="1"/>
    <col min="9247" max="9247" width="0.6640625" style="138" customWidth="1"/>
    <col min="9248" max="9248" width="4.5546875" style="138" customWidth="1"/>
    <col min="9249" max="9249" width="0.33203125" style="138" customWidth="1"/>
    <col min="9250" max="9250" width="4.21875" style="138" customWidth="1"/>
    <col min="9251" max="9251" width="1.33203125" style="138" customWidth="1"/>
    <col min="9252" max="9252" width="3.21875" style="138" customWidth="1"/>
    <col min="9253" max="9253" width="2.33203125" style="138" customWidth="1"/>
    <col min="9254" max="9254" width="2.21875" style="138" customWidth="1"/>
    <col min="9255" max="9255" width="3.33203125" style="138" customWidth="1"/>
    <col min="9256" max="9256" width="1.21875" style="138" customWidth="1"/>
    <col min="9257" max="9257" width="4.33203125" style="138" customWidth="1"/>
    <col min="9258" max="9258" width="0.21875" style="138" customWidth="1"/>
    <col min="9259" max="9259" width="4.5546875" style="138" customWidth="1"/>
    <col min="9260" max="9260" width="0.77734375" style="138" customWidth="1"/>
    <col min="9261" max="9262" width="11.109375" style="138" customWidth="1"/>
    <col min="9263" max="9263" width="0.21875" style="138" customWidth="1"/>
    <col min="9264" max="9264" width="10.88671875" style="138" customWidth="1"/>
    <col min="9265" max="9284" width="11.109375" style="138" customWidth="1"/>
    <col min="9285" max="9472" width="8.88671875" style="138"/>
    <col min="9473" max="9473" width="4.5546875" style="138" customWidth="1"/>
    <col min="9474" max="9474" width="1" style="138" customWidth="1"/>
    <col min="9475" max="9475" width="3.5546875" style="138" customWidth="1"/>
    <col min="9476" max="9476" width="2" style="138" customWidth="1"/>
    <col min="9477" max="9477" width="0.21875" style="138" customWidth="1"/>
    <col min="9478" max="9478" width="2.33203125" style="138" customWidth="1"/>
    <col min="9479" max="9479" width="3" style="138" customWidth="1"/>
    <col min="9480" max="9480" width="1.5546875" style="138" customWidth="1"/>
    <col min="9481" max="9481" width="4" style="138" customWidth="1"/>
    <col min="9482" max="9482" width="0.5546875" style="138" customWidth="1"/>
    <col min="9483" max="9483" width="4.5546875" style="138" customWidth="1"/>
    <col min="9484" max="9484" width="0.44140625" style="138" customWidth="1"/>
    <col min="9485" max="9485" width="4.109375" style="138" customWidth="1"/>
    <col min="9486" max="9486" width="1.44140625" style="138" customWidth="1"/>
    <col min="9487" max="9487" width="3.109375" style="138" customWidth="1"/>
    <col min="9488" max="9488" width="2.44140625" style="138" customWidth="1"/>
    <col min="9489" max="9489" width="2.109375" style="138" customWidth="1"/>
    <col min="9490" max="9490" width="3.44140625" style="138" customWidth="1"/>
    <col min="9491" max="9491" width="1.109375" style="138" customWidth="1"/>
    <col min="9492" max="9492" width="4.44140625" style="138" customWidth="1"/>
    <col min="9493" max="9493" width="0.109375" style="138" customWidth="1"/>
    <col min="9494" max="9494" width="3.21875" style="138" customWidth="1"/>
    <col min="9495" max="9495" width="1.33203125" style="138" customWidth="1"/>
    <col min="9496" max="9496" width="0.88671875" style="138" customWidth="1"/>
    <col min="9497" max="9497" width="3.6640625" style="138" customWidth="1"/>
    <col min="9498" max="9498" width="1.88671875" style="138" customWidth="1"/>
    <col min="9499" max="9499" width="2.6640625" style="138" customWidth="1"/>
    <col min="9500" max="9500" width="2.88671875" style="138" customWidth="1"/>
    <col min="9501" max="9501" width="1.6640625" style="138" customWidth="1"/>
    <col min="9502" max="9502" width="3.88671875" style="138" customWidth="1"/>
    <col min="9503" max="9503" width="0.6640625" style="138" customWidth="1"/>
    <col min="9504" max="9504" width="4.5546875" style="138" customWidth="1"/>
    <col min="9505" max="9505" width="0.33203125" style="138" customWidth="1"/>
    <col min="9506" max="9506" width="4.21875" style="138" customWidth="1"/>
    <col min="9507" max="9507" width="1.33203125" style="138" customWidth="1"/>
    <col min="9508" max="9508" width="3.21875" style="138" customWidth="1"/>
    <col min="9509" max="9509" width="2.33203125" style="138" customWidth="1"/>
    <col min="9510" max="9510" width="2.21875" style="138" customWidth="1"/>
    <col min="9511" max="9511" width="3.33203125" style="138" customWidth="1"/>
    <col min="9512" max="9512" width="1.21875" style="138" customWidth="1"/>
    <col min="9513" max="9513" width="4.33203125" style="138" customWidth="1"/>
    <col min="9514" max="9514" width="0.21875" style="138" customWidth="1"/>
    <col min="9515" max="9515" width="4.5546875" style="138" customWidth="1"/>
    <col min="9516" max="9516" width="0.77734375" style="138" customWidth="1"/>
    <col min="9517" max="9518" width="11.109375" style="138" customWidth="1"/>
    <col min="9519" max="9519" width="0.21875" style="138" customWidth="1"/>
    <col min="9520" max="9520" width="10.88671875" style="138" customWidth="1"/>
    <col min="9521" max="9540" width="11.109375" style="138" customWidth="1"/>
    <col min="9541" max="9728" width="8.88671875" style="138"/>
    <col min="9729" max="9729" width="4.5546875" style="138" customWidth="1"/>
    <col min="9730" max="9730" width="1" style="138" customWidth="1"/>
    <col min="9731" max="9731" width="3.5546875" style="138" customWidth="1"/>
    <col min="9732" max="9732" width="2" style="138" customWidth="1"/>
    <col min="9733" max="9733" width="0.21875" style="138" customWidth="1"/>
    <col min="9734" max="9734" width="2.33203125" style="138" customWidth="1"/>
    <col min="9735" max="9735" width="3" style="138" customWidth="1"/>
    <col min="9736" max="9736" width="1.5546875" style="138" customWidth="1"/>
    <col min="9737" max="9737" width="4" style="138" customWidth="1"/>
    <col min="9738" max="9738" width="0.5546875" style="138" customWidth="1"/>
    <col min="9739" max="9739" width="4.5546875" style="138" customWidth="1"/>
    <col min="9740" max="9740" width="0.44140625" style="138" customWidth="1"/>
    <col min="9741" max="9741" width="4.109375" style="138" customWidth="1"/>
    <col min="9742" max="9742" width="1.44140625" style="138" customWidth="1"/>
    <col min="9743" max="9743" width="3.109375" style="138" customWidth="1"/>
    <col min="9744" max="9744" width="2.44140625" style="138" customWidth="1"/>
    <col min="9745" max="9745" width="2.109375" style="138" customWidth="1"/>
    <col min="9746" max="9746" width="3.44140625" style="138" customWidth="1"/>
    <col min="9747" max="9747" width="1.109375" style="138" customWidth="1"/>
    <col min="9748" max="9748" width="4.44140625" style="138" customWidth="1"/>
    <col min="9749" max="9749" width="0.109375" style="138" customWidth="1"/>
    <col min="9750" max="9750" width="3.21875" style="138" customWidth="1"/>
    <col min="9751" max="9751" width="1.33203125" style="138" customWidth="1"/>
    <col min="9752" max="9752" width="0.88671875" style="138" customWidth="1"/>
    <col min="9753" max="9753" width="3.6640625" style="138" customWidth="1"/>
    <col min="9754" max="9754" width="1.88671875" style="138" customWidth="1"/>
    <col min="9755" max="9755" width="2.6640625" style="138" customWidth="1"/>
    <col min="9756" max="9756" width="2.88671875" style="138" customWidth="1"/>
    <col min="9757" max="9757" width="1.6640625" style="138" customWidth="1"/>
    <col min="9758" max="9758" width="3.88671875" style="138" customWidth="1"/>
    <col min="9759" max="9759" width="0.6640625" style="138" customWidth="1"/>
    <col min="9760" max="9760" width="4.5546875" style="138" customWidth="1"/>
    <col min="9761" max="9761" width="0.33203125" style="138" customWidth="1"/>
    <col min="9762" max="9762" width="4.21875" style="138" customWidth="1"/>
    <col min="9763" max="9763" width="1.33203125" style="138" customWidth="1"/>
    <col min="9764" max="9764" width="3.21875" style="138" customWidth="1"/>
    <col min="9765" max="9765" width="2.33203125" style="138" customWidth="1"/>
    <col min="9766" max="9766" width="2.21875" style="138" customWidth="1"/>
    <col min="9767" max="9767" width="3.33203125" style="138" customWidth="1"/>
    <col min="9768" max="9768" width="1.21875" style="138" customWidth="1"/>
    <col min="9769" max="9769" width="4.33203125" style="138" customWidth="1"/>
    <col min="9770" max="9770" width="0.21875" style="138" customWidth="1"/>
    <col min="9771" max="9771" width="4.5546875" style="138" customWidth="1"/>
    <col min="9772" max="9772" width="0.77734375" style="138" customWidth="1"/>
    <col min="9773" max="9774" width="11.109375" style="138" customWidth="1"/>
    <col min="9775" max="9775" width="0.21875" style="138" customWidth="1"/>
    <col min="9776" max="9776" width="10.88671875" style="138" customWidth="1"/>
    <col min="9777" max="9796" width="11.109375" style="138" customWidth="1"/>
    <col min="9797" max="9984" width="8.88671875" style="138"/>
    <col min="9985" max="9985" width="4.5546875" style="138" customWidth="1"/>
    <col min="9986" max="9986" width="1" style="138" customWidth="1"/>
    <col min="9987" max="9987" width="3.5546875" style="138" customWidth="1"/>
    <col min="9988" max="9988" width="2" style="138" customWidth="1"/>
    <col min="9989" max="9989" width="0.21875" style="138" customWidth="1"/>
    <col min="9990" max="9990" width="2.33203125" style="138" customWidth="1"/>
    <col min="9991" max="9991" width="3" style="138" customWidth="1"/>
    <col min="9992" max="9992" width="1.5546875" style="138" customWidth="1"/>
    <col min="9993" max="9993" width="4" style="138" customWidth="1"/>
    <col min="9994" max="9994" width="0.5546875" style="138" customWidth="1"/>
    <col min="9995" max="9995" width="4.5546875" style="138" customWidth="1"/>
    <col min="9996" max="9996" width="0.44140625" style="138" customWidth="1"/>
    <col min="9997" max="9997" width="4.109375" style="138" customWidth="1"/>
    <col min="9998" max="9998" width="1.44140625" style="138" customWidth="1"/>
    <col min="9999" max="9999" width="3.109375" style="138" customWidth="1"/>
    <col min="10000" max="10000" width="2.44140625" style="138" customWidth="1"/>
    <col min="10001" max="10001" width="2.109375" style="138" customWidth="1"/>
    <col min="10002" max="10002" width="3.44140625" style="138" customWidth="1"/>
    <col min="10003" max="10003" width="1.109375" style="138" customWidth="1"/>
    <col min="10004" max="10004" width="4.44140625" style="138" customWidth="1"/>
    <col min="10005" max="10005" width="0.109375" style="138" customWidth="1"/>
    <col min="10006" max="10006" width="3.21875" style="138" customWidth="1"/>
    <col min="10007" max="10007" width="1.33203125" style="138" customWidth="1"/>
    <col min="10008" max="10008" width="0.88671875" style="138" customWidth="1"/>
    <col min="10009" max="10009" width="3.6640625" style="138" customWidth="1"/>
    <col min="10010" max="10010" width="1.88671875" style="138" customWidth="1"/>
    <col min="10011" max="10011" width="2.6640625" style="138" customWidth="1"/>
    <col min="10012" max="10012" width="2.88671875" style="138" customWidth="1"/>
    <col min="10013" max="10013" width="1.6640625" style="138" customWidth="1"/>
    <col min="10014" max="10014" width="3.88671875" style="138" customWidth="1"/>
    <col min="10015" max="10015" width="0.6640625" style="138" customWidth="1"/>
    <col min="10016" max="10016" width="4.5546875" style="138" customWidth="1"/>
    <col min="10017" max="10017" width="0.33203125" style="138" customWidth="1"/>
    <col min="10018" max="10018" width="4.21875" style="138" customWidth="1"/>
    <col min="10019" max="10019" width="1.33203125" style="138" customWidth="1"/>
    <col min="10020" max="10020" width="3.21875" style="138" customWidth="1"/>
    <col min="10021" max="10021" width="2.33203125" style="138" customWidth="1"/>
    <col min="10022" max="10022" width="2.21875" style="138" customWidth="1"/>
    <col min="10023" max="10023" width="3.33203125" style="138" customWidth="1"/>
    <col min="10024" max="10024" width="1.21875" style="138" customWidth="1"/>
    <col min="10025" max="10025" width="4.33203125" style="138" customWidth="1"/>
    <col min="10026" max="10026" width="0.21875" style="138" customWidth="1"/>
    <col min="10027" max="10027" width="4.5546875" style="138" customWidth="1"/>
    <col min="10028" max="10028" width="0.77734375" style="138" customWidth="1"/>
    <col min="10029" max="10030" width="11.109375" style="138" customWidth="1"/>
    <col min="10031" max="10031" width="0.21875" style="138" customWidth="1"/>
    <col min="10032" max="10032" width="10.88671875" style="138" customWidth="1"/>
    <col min="10033" max="10052" width="11.109375" style="138" customWidth="1"/>
    <col min="10053" max="10240" width="8.88671875" style="138"/>
    <col min="10241" max="10241" width="4.5546875" style="138" customWidth="1"/>
    <col min="10242" max="10242" width="1" style="138" customWidth="1"/>
    <col min="10243" max="10243" width="3.5546875" style="138" customWidth="1"/>
    <col min="10244" max="10244" width="2" style="138" customWidth="1"/>
    <col min="10245" max="10245" width="0.21875" style="138" customWidth="1"/>
    <col min="10246" max="10246" width="2.33203125" style="138" customWidth="1"/>
    <col min="10247" max="10247" width="3" style="138" customWidth="1"/>
    <col min="10248" max="10248" width="1.5546875" style="138" customWidth="1"/>
    <col min="10249" max="10249" width="4" style="138" customWidth="1"/>
    <col min="10250" max="10250" width="0.5546875" style="138" customWidth="1"/>
    <col min="10251" max="10251" width="4.5546875" style="138" customWidth="1"/>
    <col min="10252" max="10252" width="0.44140625" style="138" customWidth="1"/>
    <col min="10253" max="10253" width="4.109375" style="138" customWidth="1"/>
    <col min="10254" max="10254" width="1.44140625" style="138" customWidth="1"/>
    <col min="10255" max="10255" width="3.109375" style="138" customWidth="1"/>
    <col min="10256" max="10256" width="2.44140625" style="138" customWidth="1"/>
    <col min="10257" max="10257" width="2.109375" style="138" customWidth="1"/>
    <col min="10258" max="10258" width="3.44140625" style="138" customWidth="1"/>
    <col min="10259" max="10259" width="1.109375" style="138" customWidth="1"/>
    <col min="10260" max="10260" width="4.44140625" style="138" customWidth="1"/>
    <col min="10261" max="10261" width="0.109375" style="138" customWidth="1"/>
    <col min="10262" max="10262" width="3.21875" style="138" customWidth="1"/>
    <col min="10263" max="10263" width="1.33203125" style="138" customWidth="1"/>
    <col min="10264" max="10264" width="0.88671875" style="138" customWidth="1"/>
    <col min="10265" max="10265" width="3.6640625" style="138" customWidth="1"/>
    <col min="10266" max="10266" width="1.88671875" style="138" customWidth="1"/>
    <col min="10267" max="10267" width="2.6640625" style="138" customWidth="1"/>
    <col min="10268" max="10268" width="2.88671875" style="138" customWidth="1"/>
    <col min="10269" max="10269" width="1.6640625" style="138" customWidth="1"/>
    <col min="10270" max="10270" width="3.88671875" style="138" customWidth="1"/>
    <col min="10271" max="10271" width="0.6640625" style="138" customWidth="1"/>
    <col min="10272" max="10272" width="4.5546875" style="138" customWidth="1"/>
    <col min="10273" max="10273" width="0.33203125" style="138" customWidth="1"/>
    <col min="10274" max="10274" width="4.21875" style="138" customWidth="1"/>
    <col min="10275" max="10275" width="1.33203125" style="138" customWidth="1"/>
    <col min="10276" max="10276" width="3.21875" style="138" customWidth="1"/>
    <col min="10277" max="10277" width="2.33203125" style="138" customWidth="1"/>
    <col min="10278" max="10278" width="2.21875" style="138" customWidth="1"/>
    <col min="10279" max="10279" width="3.33203125" style="138" customWidth="1"/>
    <col min="10280" max="10280" width="1.21875" style="138" customWidth="1"/>
    <col min="10281" max="10281" width="4.33203125" style="138" customWidth="1"/>
    <col min="10282" max="10282" width="0.21875" style="138" customWidth="1"/>
    <col min="10283" max="10283" width="4.5546875" style="138" customWidth="1"/>
    <col min="10284" max="10284" width="0.77734375" style="138" customWidth="1"/>
    <col min="10285" max="10286" width="11.109375" style="138" customWidth="1"/>
    <col min="10287" max="10287" width="0.21875" style="138" customWidth="1"/>
    <col min="10288" max="10288" width="10.88671875" style="138" customWidth="1"/>
    <col min="10289" max="10308" width="11.109375" style="138" customWidth="1"/>
    <col min="10309" max="10496" width="8.88671875" style="138"/>
    <col min="10497" max="10497" width="4.5546875" style="138" customWidth="1"/>
    <col min="10498" max="10498" width="1" style="138" customWidth="1"/>
    <col min="10499" max="10499" width="3.5546875" style="138" customWidth="1"/>
    <col min="10500" max="10500" width="2" style="138" customWidth="1"/>
    <col min="10501" max="10501" width="0.21875" style="138" customWidth="1"/>
    <col min="10502" max="10502" width="2.33203125" style="138" customWidth="1"/>
    <col min="10503" max="10503" width="3" style="138" customWidth="1"/>
    <col min="10504" max="10504" width="1.5546875" style="138" customWidth="1"/>
    <col min="10505" max="10505" width="4" style="138" customWidth="1"/>
    <col min="10506" max="10506" width="0.5546875" style="138" customWidth="1"/>
    <col min="10507" max="10507" width="4.5546875" style="138" customWidth="1"/>
    <col min="10508" max="10508" width="0.44140625" style="138" customWidth="1"/>
    <col min="10509" max="10509" width="4.109375" style="138" customWidth="1"/>
    <col min="10510" max="10510" width="1.44140625" style="138" customWidth="1"/>
    <col min="10511" max="10511" width="3.109375" style="138" customWidth="1"/>
    <col min="10512" max="10512" width="2.44140625" style="138" customWidth="1"/>
    <col min="10513" max="10513" width="2.109375" style="138" customWidth="1"/>
    <col min="10514" max="10514" width="3.44140625" style="138" customWidth="1"/>
    <col min="10515" max="10515" width="1.109375" style="138" customWidth="1"/>
    <col min="10516" max="10516" width="4.44140625" style="138" customWidth="1"/>
    <col min="10517" max="10517" width="0.109375" style="138" customWidth="1"/>
    <col min="10518" max="10518" width="3.21875" style="138" customWidth="1"/>
    <col min="10519" max="10519" width="1.33203125" style="138" customWidth="1"/>
    <col min="10520" max="10520" width="0.88671875" style="138" customWidth="1"/>
    <col min="10521" max="10521" width="3.6640625" style="138" customWidth="1"/>
    <col min="10522" max="10522" width="1.88671875" style="138" customWidth="1"/>
    <col min="10523" max="10523" width="2.6640625" style="138" customWidth="1"/>
    <col min="10524" max="10524" width="2.88671875" style="138" customWidth="1"/>
    <col min="10525" max="10525" width="1.6640625" style="138" customWidth="1"/>
    <col min="10526" max="10526" width="3.88671875" style="138" customWidth="1"/>
    <col min="10527" max="10527" width="0.6640625" style="138" customWidth="1"/>
    <col min="10528" max="10528" width="4.5546875" style="138" customWidth="1"/>
    <col min="10529" max="10529" width="0.33203125" style="138" customWidth="1"/>
    <col min="10530" max="10530" width="4.21875" style="138" customWidth="1"/>
    <col min="10531" max="10531" width="1.33203125" style="138" customWidth="1"/>
    <col min="10532" max="10532" width="3.21875" style="138" customWidth="1"/>
    <col min="10533" max="10533" width="2.33203125" style="138" customWidth="1"/>
    <col min="10534" max="10534" width="2.21875" style="138" customWidth="1"/>
    <col min="10535" max="10535" width="3.33203125" style="138" customWidth="1"/>
    <col min="10536" max="10536" width="1.21875" style="138" customWidth="1"/>
    <col min="10537" max="10537" width="4.33203125" style="138" customWidth="1"/>
    <col min="10538" max="10538" width="0.21875" style="138" customWidth="1"/>
    <col min="10539" max="10539" width="4.5546875" style="138" customWidth="1"/>
    <col min="10540" max="10540" width="0.77734375" style="138" customWidth="1"/>
    <col min="10541" max="10542" width="11.109375" style="138" customWidth="1"/>
    <col min="10543" max="10543" width="0.21875" style="138" customWidth="1"/>
    <col min="10544" max="10544" width="10.88671875" style="138" customWidth="1"/>
    <col min="10545" max="10564" width="11.109375" style="138" customWidth="1"/>
    <col min="10565" max="10752" width="8.88671875" style="138"/>
    <col min="10753" max="10753" width="4.5546875" style="138" customWidth="1"/>
    <col min="10754" max="10754" width="1" style="138" customWidth="1"/>
    <col min="10755" max="10755" width="3.5546875" style="138" customWidth="1"/>
    <col min="10756" max="10756" width="2" style="138" customWidth="1"/>
    <col min="10757" max="10757" width="0.21875" style="138" customWidth="1"/>
    <col min="10758" max="10758" width="2.33203125" style="138" customWidth="1"/>
    <col min="10759" max="10759" width="3" style="138" customWidth="1"/>
    <col min="10760" max="10760" width="1.5546875" style="138" customWidth="1"/>
    <col min="10761" max="10761" width="4" style="138" customWidth="1"/>
    <col min="10762" max="10762" width="0.5546875" style="138" customWidth="1"/>
    <col min="10763" max="10763" width="4.5546875" style="138" customWidth="1"/>
    <col min="10764" max="10764" width="0.44140625" style="138" customWidth="1"/>
    <col min="10765" max="10765" width="4.109375" style="138" customWidth="1"/>
    <col min="10766" max="10766" width="1.44140625" style="138" customWidth="1"/>
    <col min="10767" max="10767" width="3.109375" style="138" customWidth="1"/>
    <col min="10768" max="10768" width="2.44140625" style="138" customWidth="1"/>
    <col min="10769" max="10769" width="2.109375" style="138" customWidth="1"/>
    <col min="10770" max="10770" width="3.44140625" style="138" customWidth="1"/>
    <col min="10771" max="10771" width="1.109375" style="138" customWidth="1"/>
    <col min="10772" max="10772" width="4.44140625" style="138" customWidth="1"/>
    <col min="10773" max="10773" width="0.109375" style="138" customWidth="1"/>
    <col min="10774" max="10774" width="3.21875" style="138" customWidth="1"/>
    <col min="10775" max="10775" width="1.33203125" style="138" customWidth="1"/>
    <col min="10776" max="10776" width="0.88671875" style="138" customWidth="1"/>
    <col min="10777" max="10777" width="3.6640625" style="138" customWidth="1"/>
    <col min="10778" max="10778" width="1.88671875" style="138" customWidth="1"/>
    <col min="10779" max="10779" width="2.6640625" style="138" customWidth="1"/>
    <col min="10780" max="10780" width="2.88671875" style="138" customWidth="1"/>
    <col min="10781" max="10781" width="1.6640625" style="138" customWidth="1"/>
    <col min="10782" max="10782" width="3.88671875" style="138" customWidth="1"/>
    <col min="10783" max="10783" width="0.6640625" style="138" customWidth="1"/>
    <col min="10784" max="10784" width="4.5546875" style="138" customWidth="1"/>
    <col min="10785" max="10785" width="0.33203125" style="138" customWidth="1"/>
    <col min="10786" max="10786" width="4.21875" style="138" customWidth="1"/>
    <col min="10787" max="10787" width="1.33203125" style="138" customWidth="1"/>
    <col min="10788" max="10788" width="3.21875" style="138" customWidth="1"/>
    <col min="10789" max="10789" width="2.33203125" style="138" customWidth="1"/>
    <col min="10790" max="10790" width="2.21875" style="138" customWidth="1"/>
    <col min="10791" max="10791" width="3.33203125" style="138" customWidth="1"/>
    <col min="10792" max="10792" width="1.21875" style="138" customWidth="1"/>
    <col min="10793" max="10793" width="4.33203125" style="138" customWidth="1"/>
    <col min="10794" max="10794" width="0.21875" style="138" customWidth="1"/>
    <col min="10795" max="10795" width="4.5546875" style="138" customWidth="1"/>
    <col min="10796" max="10796" width="0.77734375" style="138" customWidth="1"/>
    <col min="10797" max="10798" width="11.109375" style="138" customWidth="1"/>
    <col min="10799" max="10799" width="0.21875" style="138" customWidth="1"/>
    <col min="10800" max="10800" width="10.88671875" style="138" customWidth="1"/>
    <col min="10801" max="10820" width="11.109375" style="138" customWidth="1"/>
    <col min="10821" max="11008" width="8.88671875" style="138"/>
    <col min="11009" max="11009" width="4.5546875" style="138" customWidth="1"/>
    <col min="11010" max="11010" width="1" style="138" customWidth="1"/>
    <col min="11011" max="11011" width="3.5546875" style="138" customWidth="1"/>
    <col min="11012" max="11012" width="2" style="138" customWidth="1"/>
    <col min="11013" max="11013" width="0.21875" style="138" customWidth="1"/>
    <col min="11014" max="11014" width="2.33203125" style="138" customWidth="1"/>
    <col min="11015" max="11015" width="3" style="138" customWidth="1"/>
    <col min="11016" max="11016" width="1.5546875" style="138" customWidth="1"/>
    <col min="11017" max="11017" width="4" style="138" customWidth="1"/>
    <col min="11018" max="11018" width="0.5546875" style="138" customWidth="1"/>
    <col min="11019" max="11019" width="4.5546875" style="138" customWidth="1"/>
    <col min="11020" max="11020" width="0.44140625" style="138" customWidth="1"/>
    <col min="11021" max="11021" width="4.109375" style="138" customWidth="1"/>
    <col min="11022" max="11022" width="1.44140625" style="138" customWidth="1"/>
    <col min="11023" max="11023" width="3.109375" style="138" customWidth="1"/>
    <col min="11024" max="11024" width="2.44140625" style="138" customWidth="1"/>
    <col min="11025" max="11025" width="2.109375" style="138" customWidth="1"/>
    <col min="11026" max="11026" width="3.44140625" style="138" customWidth="1"/>
    <col min="11027" max="11027" width="1.109375" style="138" customWidth="1"/>
    <col min="11028" max="11028" width="4.44140625" style="138" customWidth="1"/>
    <col min="11029" max="11029" width="0.109375" style="138" customWidth="1"/>
    <col min="11030" max="11030" width="3.21875" style="138" customWidth="1"/>
    <col min="11031" max="11031" width="1.33203125" style="138" customWidth="1"/>
    <col min="11032" max="11032" width="0.88671875" style="138" customWidth="1"/>
    <col min="11033" max="11033" width="3.6640625" style="138" customWidth="1"/>
    <col min="11034" max="11034" width="1.88671875" style="138" customWidth="1"/>
    <col min="11035" max="11035" width="2.6640625" style="138" customWidth="1"/>
    <col min="11036" max="11036" width="2.88671875" style="138" customWidth="1"/>
    <col min="11037" max="11037" width="1.6640625" style="138" customWidth="1"/>
    <col min="11038" max="11038" width="3.88671875" style="138" customWidth="1"/>
    <col min="11039" max="11039" width="0.6640625" style="138" customWidth="1"/>
    <col min="11040" max="11040" width="4.5546875" style="138" customWidth="1"/>
    <col min="11041" max="11041" width="0.33203125" style="138" customWidth="1"/>
    <col min="11042" max="11042" width="4.21875" style="138" customWidth="1"/>
    <col min="11043" max="11043" width="1.33203125" style="138" customWidth="1"/>
    <col min="11044" max="11044" width="3.21875" style="138" customWidth="1"/>
    <col min="11045" max="11045" width="2.33203125" style="138" customWidth="1"/>
    <col min="11046" max="11046" width="2.21875" style="138" customWidth="1"/>
    <col min="11047" max="11047" width="3.33203125" style="138" customWidth="1"/>
    <col min="11048" max="11048" width="1.21875" style="138" customWidth="1"/>
    <col min="11049" max="11049" width="4.33203125" style="138" customWidth="1"/>
    <col min="11050" max="11050" width="0.21875" style="138" customWidth="1"/>
    <col min="11051" max="11051" width="4.5546875" style="138" customWidth="1"/>
    <col min="11052" max="11052" width="0.77734375" style="138" customWidth="1"/>
    <col min="11053" max="11054" width="11.109375" style="138" customWidth="1"/>
    <col min="11055" max="11055" width="0.21875" style="138" customWidth="1"/>
    <col min="11056" max="11056" width="10.88671875" style="138" customWidth="1"/>
    <col min="11057" max="11076" width="11.109375" style="138" customWidth="1"/>
    <col min="11077" max="11264" width="8.88671875" style="138"/>
    <col min="11265" max="11265" width="4.5546875" style="138" customWidth="1"/>
    <col min="11266" max="11266" width="1" style="138" customWidth="1"/>
    <col min="11267" max="11267" width="3.5546875" style="138" customWidth="1"/>
    <col min="11268" max="11268" width="2" style="138" customWidth="1"/>
    <col min="11269" max="11269" width="0.21875" style="138" customWidth="1"/>
    <col min="11270" max="11270" width="2.33203125" style="138" customWidth="1"/>
    <col min="11271" max="11271" width="3" style="138" customWidth="1"/>
    <col min="11272" max="11272" width="1.5546875" style="138" customWidth="1"/>
    <col min="11273" max="11273" width="4" style="138" customWidth="1"/>
    <col min="11274" max="11274" width="0.5546875" style="138" customWidth="1"/>
    <col min="11275" max="11275" width="4.5546875" style="138" customWidth="1"/>
    <col min="11276" max="11276" width="0.44140625" style="138" customWidth="1"/>
    <col min="11277" max="11277" width="4.109375" style="138" customWidth="1"/>
    <col min="11278" max="11278" width="1.44140625" style="138" customWidth="1"/>
    <col min="11279" max="11279" width="3.109375" style="138" customWidth="1"/>
    <col min="11280" max="11280" width="2.44140625" style="138" customWidth="1"/>
    <col min="11281" max="11281" width="2.109375" style="138" customWidth="1"/>
    <col min="11282" max="11282" width="3.44140625" style="138" customWidth="1"/>
    <col min="11283" max="11283" width="1.109375" style="138" customWidth="1"/>
    <col min="11284" max="11284" width="4.44140625" style="138" customWidth="1"/>
    <col min="11285" max="11285" width="0.109375" style="138" customWidth="1"/>
    <col min="11286" max="11286" width="3.21875" style="138" customWidth="1"/>
    <col min="11287" max="11287" width="1.33203125" style="138" customWidth="1"/>
    <col min="11288" max="11288" width="0.88671875" style="138" customWidth="1"/>
    <col min="11289" max="11289" width="3.6640625" style="138" customWidth="1"/>
    <col min="11290" max="11290" width="1.88671875" style="138" customWidth="1"/>
    <col min="11291" max="11291" width="2.6640625" style="138" customWidth="1"/>
    <col min="11292" max="11292" width="2.88671875" style="138" customWidth="1"/>
    <col min="11293" max="11293" width="1.6640625" style="138" customWidth="1"/>
    <col min="11294" max="11294" width="3.88671875" style="138" customWidth="1"/>
    <col min="11295" max="11295" width="0.6640625" style="138" customWidth="1"/>
    <col min="11296" max="11296" width="4.5546875" style="138" customWidth="1"/>
    <col min="11297" max="11297" width="0.33203125" style="138" customWidth="1"/>
    <col min="11298" max="11298" width="4.21875" style="138" customWidth="1"/>
    <col min="11299" max="11299" width="1.33203125" style="138" customWidth="1"/>
    <col min="11300" max="11300" width="3.21875" style="138" customWidth="1"/>
    <col min="11301" max="11301" width="2.33203125" style="138" customWidth="1"/>
    <col min="11302" max="11302" width="2.21875" style="138" customWidth="1"/>
    <col min="11303" max="11303" width="3.33203125" style="138" customWidth="1"/>
    <col min="11304" max="11304" width="1.21875" style="138" customWidth="1"/>
    <col min="11305" max="11305" width="4.33203125" style="138" customWidth="1"/>
    <col min="11306" max="11306" width="0.21875" style="138" customWidth="1"/>
    <col min="11307" max="11307" width="4.5546875" style="138" customWidth="1"/>
    <col min="11308" max="11308" width="0.77734375" style="138" customWidth="1"/>
    <col min="11309" max="11310" width="11.109375" style="138" customWidth="1"/>
    <col min="11311" max="11311" width="0.21875" style="138" customWidth="1"/>
    <col min="11312" max="11312" width="10.88671875" style="138" customWidth="1"/>
    <col min="11313" max="11332" width="11.109375" style="138" customWidth="1"/>
    <col min="11333" max="11520" width="8.88671875" style="138"/>
    <col min="11521" max="11521" width="4.5546875" style="138" customWidth="1"/>
    <col min="11522" max="11522" width="1" style="138" customWidth="1"/>
    <col min="11523" max="11523" width="3.5546875" style="138" customWidth="1"/>
    <col min="11524" max="11524" width="2" style="138" customWidth="1"/>
    <col min="11525" max="11525" width="0.21875" style="138" customWidth="1"/>
    <col min="11526" max="11526" width="2.33203125" style="138" customWidth="1"/>
    <col min="11527" max="11527" width="3" style="138" customWidth="1"/>
    <col min="11528" max="11528" width="1.5546875" style="138" customWidth="1"/>
    <col min="11529" max="11529" width="4" style="138" customWidth="1"/>
    <col min="11530" max="11530" width="0.5546875" style="138" customWidth="1"/>
    <col min="11531" max="11531" width="4.5546875" style="138" customWidth="1"/>
    <col min="11532" max="11532" width="0.44140625" style="138" customWidth="1"/>
    <col min="11533" max="11533" width="4.109375" style="138" customWidth="1"/>
    <col min="11534" max="11534" width="1.44140625" style="138" customWidth="1"/>
    <col min="11535" max="11535" width="3.109375" style="138" customWidth="1"/>
    <col min="11536" max="11536" width="2.44140625" style="138" customWidth="1"/>
    <col min="11537" max="11537" width="2.109375" style="138" customWidth="1"/>
    <col min="11538" max="11538" width="3.44140625" style="138" customWidth="1"/>
    <col min="11539" max="11539" width="1.109375" style="138" customWidth="1"/>
    <col min="11540" max="11540" width="4.44140625" style="138" customWidth="1"/>
    <col min="11541" max="11541" width="0.109375" style="138" customWidth="1"/>
    <col min="11542" max="11542" width="3.21875" style="138" customWidth="1"/>
    <col min="11543" max="11543" width="1.33203125" style="138" customWidth="1"/>
    <col min="11544" max="11544" width="0.88671875" style="138" customWidth="1"/>
    <col min="11545" max="11545" width="3.6640625" style="138" customWidth="1"/>
    <col min="11546" max="11546" width="1.88671875" style="138" customWidth="1"/>
    <col min="11547" max="11547" width="2.6640625" style="138" customWidth="1"/>
    <col min="11548" max="11548" width="2.88671875" style="138" customWidth="1"/>
    <col min="11549" max="11549" width="1.6640625" style="138" customWidth="1"/>
    <col min="11550" max="11550" width="3.88671875" style="138" customWidth="1"/>
    <col min="11551" max="11551" width="0.6640625" style="138" customWidth="1"/>
    <col min="11552" max="11552" width="4.5546875" style="138" customWidth="1"/>
    <col min="11553" max="11553" width="0.33203125" style="138" customWidth="1"/>
    <col min="11554" max="11554" width="4.21875" style="138" customWidth="1"/>
    <col min="11555" max="11555" width="1.33203125" style="138" customWidth="1"/>
    <col min="11556" max="11556" width="3.21875" style="138" customWidth="1"/>
    <col min="11557" max="11557" width="2.33203125" style="138" customWidth="1"/>
    <col min="11558" max="11558" width="2.21875" style="138" customWidth="1"/>
    <col min="11559" max="11559" width="3.33203125" style="138" customWidth="1"/>
    <col min="11560" max="11560" width="1.21875" style="138" customWidth="1"/>
    <col min="11561" max="11561" width="4.33203125" style="138" customWidth="1"/>
    <col min="11562" max="11562" width="0.21875" style="138" customWidth="1"/>
    <col min="11563" max="11563" width="4.5546875" style="138" customWidth="1"/>
    <col min="11564" max="11564" width="0.77734375" style="138" customWidth="1"/>
    <col min="11565" max="11566" width="11.109375" style="138" customWidth="1"/>
    <col min="11567" max="11567" width="0.21875" style="138" customWidth="1"/>
    <col min="11568" max="11568" width="10.88671875" style="138" customWidth="1"/>
    <col min="11569" max="11588" width="11.109375" style="138" customWidth="1"/>
    <col min="11589" max="11776" width="8.88671875" style="138"/>
    <col min="11777" max="11777" width="4.5546875" style="138" customWidth="1"/>
    <col min="11778" max="11778" width="1" style="138" customWidth="1"/>
    <col min="11779" max="11779" width="3.5546875" style="138" customWidth="1"/>
    <col min="11780" max="11780" width="2" style="138" customWidth="1"/>
    <col min="11781" max="11781" width="0.21875" style="138" customWidth="1"/>
    <col min="11782" max="11782" width="2.33203125" style="138" customWidth="1"/>
    <col min="11783" max="11783" width="3" style="138" customWidth="1"/>
    <col min="11784" max="11784" width="1.5546875" style="138" customWidth="1"/>
    <col min="11785" max="11785" width="4" style="138" customWidth="1"/>
    <col min="11786" max="11786" width="0.5546875" style="138" customWidth="1"/>
    <col min="11787" max="11787" width="4.5546875" style="138" customWidth="1"/>
    <col min="11788" max="11788" width="0.44140625" style="138" customWidth="1"/>
    <col min="11789" max="11789" width="4.109375" style="138" customWidth="1"/>
    <col min="11790" max="11790" width="1.44140625" style="138" customWidth="1"/>
    <col min="11791" max="11791" width="3.109375" style="138" customWidth="1"/>
    <col min="11792" max="11792" width="2.44140625" style="138" customWidth="1"/>
    <col min="11793" max="11793" width="2.109375" style="138" customWidth="1"/>
    <col min="11794" max="11794" width="3.44140625" style="138" customWidth="1"/>
    <col min="11795" max="11795" width="1.109375" style="138" customWidth="1"/>
    <col min="11796" max="11796" width="4.44140625" style="138" customWidth="1"/>
    <col min="11797" max="11797" width="0.109375" style="138" customWidth="1"/>
    <col min="11798" max="11798" width="3.21875" style="138" customWidth="1"/>
    <col min="11799" max="11799" width="1.33203125" style="138" customWidth="1"/>
    <col min="11800" max="11800" width="0.88671875" style="138" customWidth="1"/>
    <col min="11801" max="11801" width="3.6640625" style="138" customWidth="1"/>
    <col min="11802" max="11802" width="1.88671875" style="138" customWidth="1"/>
    <col min="11803" max="11803" width="2.6640625" style="138" customWidth="1"/>
    <col min="11804" max="11804" width="2.88671875" style="138" customWidth="1"/>
    <col min="11805" max="11805" width="1.6640625" style="138" customWidth="1"/>
    <col min="11806" max="11806" width="3.88671875" style="138" customWidth="1"/>
    <col min="11807" max="11807" width="0.6640625" style="138" customWidth="1"/>
    <col min="11808" max="11808" width="4.5546875" style="138" customWidth="1"/>
    <col min="11809" max="11809" width="0.33203125" style="138" customWidth="1"/>
    <col min="11810" max="11810" width="4.21875" style="138" customWidth="1"/>
    <col min="11811" max="11811" width="1.33203125" style="138" customWidth="1"/>
    <col min="11812" max="11812" width="3.21875" style="138" customWidth="1"/>
    <col min="11813" max="11813" width="2.33203125" style="138" customWidth="1"/>
    <col min="11814" max="11814" width="2.21875" style="138" customWidth="1"/>
    <col min="11815" max="11815" width="3.33203125" style="138" customWidth="1"/>
    <col min="11816" max="11816" width="1.21875" style="138" customWidth="1"/>
    <col min="11817" max="11817" width="4.33203125" style="138" customWidth="1"/>
    <col min="11818" max="11818" width="0.21875" style="138" customWidth="1"/>
    <col min="11819" max="11819" width="4.5546875" style="138" customWidth="1"/>
    <col min="11820" max="11820" width="0.77734375" style="138" customWidth="1"/>
    <col min="11821" max="11822" width="11.109375" style="138" customWidth="1"/>
    <col min="11823" max="11823" width="0.21875" style="138" customWidth="1"/>
    <col min="11824" max="11824" width="10.88671875" style="138" customWidth="1"/>
    <col min="11825" max="11844" width="11.109375" style="138" customWidth="1"/>
    <col min="11845" max="12032" width="8.88671875" style="138"/>
    <col min="12033" max="12033" width="4.5546875" style="138" customWidth="1"/>
    <col min="12034" max="12034" width="1" style="138" customWidth="1"/>
    <col min="12035" max="12035" width="3.5546875" style="138" customWidth="1"/>
    <col min="12036" max="12036" width="2" style="138" customWidth="1"/>
    <col min="12037" max="12037" width="0.21875" style="138" customWidth="1"/>
    <col min="12038" max="12038" width="2.33203125" style="138" customWidth="1"/>
    <col min="12039" max="12039" width="3" style="138" customWidth="1"/>
    <col min="12040" max="12040" width="1.5546875" style="138" customWidth="1"/>
    <col min="12041" max="12041" width="4" style="138" customWidth="1"/>
    <col min="12042" max="12042" width="0.5546875" style="138" customWidth="1"/>
    <col min="12043" max="12043" width="4.5546875" style="138" customWidth="1"/>
    <col min="12044" max="12044" width="0.44140625" style="138" customWidth="1"/>
    <col min="12045" max="12045" width="4.109375" style="138" customWidth="1"/>
    <col min="12046" max="12046" width="1.44140625" style="138" customWidth="1"/>
    <col min="12047" max="12047" width="3.109375" style="138" customWidth="1"/>
    <col min="12048" max="12048" width="2.44140625" style="138" customWidth="1"/>
    <col min="12049" max="12049" width="2.109375" style="138" customWidth="1"/>
    <col min="12050" max="12050" width="3.44140625" style="138" customWidth="1"/>
    <col min="12051" max="12051" width="1.109375" style="138" customWidth="1"/>
    <col min="12052" max="12052" width="4.44140625" style="138" customWidth="1"/>
    <col min="12053" max="12053" width="0.109375" style="138" customWidth="1"/>
    <col min="12054" max="12054" width="3.21875" style="138" customWidth="1"/>
    <col min="12055" max="12055" width="1.33203125" style="138" customWidth="1"/>
    <col min="12056" max="12056" width="0.88671875" style="138" customWidth="1"/>
    <col min="12057" max="12057" width="3.6640625" style="138" customWidth="1"/>
    <col min="12058" max="12058" width="1.88671875" style="138" customWidth="1"/>
    <col min="12059" max="12059" width="2.6640625" style="138" customWidth="1"/>
    <col min="12060" max="12060" width="2.88671875" style="138" customWidth="1"/>
    <col min="12061" max="12061" width="1.6640625" style="138" customWidth="1"/>
    <col min="12062" max="12062" width="3.88671875" style="138" customWidth="1"/>
    <col min="12063" max="12063" width="0.6640625" style="138" customWidth="1"/>
    <col min="12064" max="12064" width="4.5546875" style="138" customWidth="1"/>
    <col min="12065" max="12065" width="0.33203125" style="138" customWidth="1"/>
    <col min="12066" max="12066" width="4.21875" style="138" customWidth="1"/>
    <col min="12067" max="12067" width="1.33203125" style="138" customWidth="1"/>
    <col min="12068" max="12068" width="3.21875" style="138" customWidth="1"/>
    <col min="12069" max="12069" width="2.33203125" style="138" customWidth="1"/>
    <col min="12070" max="12070" width="2.21875" style="138" customWidth="1"/>
    <col min="12071" max="12071" width="3.33203125" style="138" customWidth="1"/>
    <col min="12072" max="12072" width="1.21875" style="138" customWidth="1"/>
    <col min="12073" max="12073" width="4.33203125" style="138" customWidth="1"/>
    <col min="12074" max="12074" width="0.21875" style="138" customWidth="1"/>
    <col min="12075" max="12075" width="4.5546875" style="138" customWidth="1"/>
    <col min="12076" max="12076" width="0.77734375" style="138" customWidth="1"/>
    <col min="12077" max="12078" width="11.109375" style="138" customWidth="1"/>
    <col min="12079" max="12079" width="0.21875" style="138" customWidth="1"/>
    <col min="12080" max="12080" width="10.88671875" style="138" customWidth="1"/>
    <col min="12081" max="12100" width="11.109375" style="138" customWidth="1"/>
    <col min="12101" max="12288" width="8.88671875" style="138"/>
    <col min="12289" max="12289" width="4.5546875" style="138" customWidth="1"/>
    <col min="12290" max="12290" width="1" style="138" customWidth="1"/>
    <col min="12291" max="12291" width="3.5546875" style="138" customWidth="1"/>
    <col min="12292" max="12292" width="2" style="138" customWidth="1"/>
    <col min="12293" max="12293" width="0.21875" style="138" customWidth="1"/>
    <col min="12294" max="12294" width="2.33203125" style="138" customWidth="1"/>
    <col min="12295" max="12295" width="3" style="138" customWidth="1"/>
    <col min="12296" max="12296" width="1.5546875" style="138" customWidth="1"/>
    <col min="12297" max="12297" width="4" style="138" customWidth="1"/>
    <col min="12298" max="12298" width="0.5546875" style="138" customWidth="1"/>
    <col min="12299" max="12299" width="4.5546875" style="138" customWidth="1"/>
    <col min="12300" max="12300" width="0.44140625" style="138" customWidth="1"/>
    <col min="12301" max="12301" width="4.109375" style="138" customWidth="1"/>
    <col min="12302" max="12302" width="1.44140625" style="138" customWidth="1"/>
    <col min="12303" max="12303" width="3.109375" style="138" customWidth="1"/>
    <col min="12304" max="12304" width="2.44140625" style="138" customWidth="1"/>
    <col min="12305" max="12305" width="2.109375" style="138" customWidth="1"/>
    <col min="12306" max="12306" width="3.44140625" style="138" customWidth="1"/>
    <col min="12307" max="12307" width="1.109375" style="138" customWidth="1"/>
    <col min="12308" max="12308" width="4.44140625" style="138" customWidth="1"/>
    <col min="12309" max="12309" width="0.109375" style="138" customWidth="1"/>
    <col min="12310" max="12310" width="3.21875" style="138" customWidth="1"/>
    <col min="12311" max="12311" width="1.33203125" style="138" customWidth="1"/>
    <col min="12312" max="12312" width="0.88671875" style="138" customWidth="1"/>
    <col min="12313" max="12313" width="3.6640625" style="138" customWidth="1"/>
    <col min="12314" max="12314" width="1.88671875" style="138" customWidth="1"/>
    <col min="12315" max="12315" width="2.6640625" style="138" customWidth="1"/>
    <col min="12316" max="12316" width="2.88671875" style="138" customWidth="1"/>
    <col min="12317" max="12317" width="1.6640625" style="138" customWidth="1"/>
    <col min="12318" max="12318" width="3.88671875" style="138" customWidth="1"/>
    <col min="12319" max="12319" width="0.6640625" style="138" customWidth="1"/>
    <col min="12320" max="12320" width="4.5546875" style="138" customWidth="1"/>
    <col min="12321" max="12321" width="0.33203125" style="138" customWidth="1"/>
    <col min="12322" max="12322" width="4.21875" style="138" customWidth="1"/>
    <col min="12323" max="12323" width="1.33203125" style="138" customWidth="1"/>
    <col min="12324" max="12324" width="3.21875" style="138" customWidth="1"/>
    <col min="12325" max="12325" width="2.33203125" style="138" customWidth="1"/>
    <col min="12326" max="12326" width="2.21875" style="138" customWidth="1"/>
    <col min="12327" max="12327" width="3.33203125" style="138" customWidth="1"/>
    <col min="12328" max="12328" width="1.21875" style="138" customWidth="1"/>
    <col min="12329" max="12329" width="4.33203125" style="138" customWidth="1"/>
    <col min="12330" max="12330" width="0.21875" style="138" customWidth="1"/>
    <col min="12331" max="12331" width="4.5546875" style="138" customWidth="1"/>
    <col min="12332" max="12332" width="0.77734375" style="138" customWidth="1"/>
    <col min="12333" max="12334" width="11.109375" style="138" customWidth="1"/>
    <col min="12335" max="12335" width="0.21875" style="138" customWidth="1"/>
    <col min="12336" max="12336" width="10.88671875" style="138" customWidth="1"/>
    <col min="12337" max="12356" width="11.109375" style="138" customWidth="1"/>
    <col min="12357" max="12544" width="8.88671875" style="138"/>
    <col min="12545" max="12545" width="4.5546875" style="138" customWidth="1"/>
    <col min="12546" max="12546" width="1" style="138" customWidth="1"/>
    <col min="12547" max="12547" width="3.5546875" style="138" customWidth="1"/>
    <col min="12548" max="12548" width="2" style="138" customWidth="1"/>
    <col min="12549" max="12549" width="0.21875" style="138" customWidth="1"/>
    <col min="12550" max="12550" width="2.33203125" style="138" customWidth="1"/>
    <col min="12551" max="12551" width="3" style="138" customWidth="1"/>
    <col min="12552" max="12552" width="1.5546875" style="138" customWidth="1"/>
    <col min="12553" max="12553" width="4" style="138" customWidth="1"/>
    <col min="12554" max="12554" width="0.5546875" style="138" customWidth="1"/>
    <col min="12555" max="12555" width="4.5546875" style="138" customWidth="1"/>
    <col min="12556" max="12556" width="0.44140625" style="138" customWidth="1"/>
    <col min="12557" max="12557" width="4.109375" style="138" customWidth="1"/>
    <col min="12558" max="12558" width="1.44140625" style="138" customWidth="1"/>
    <col min="12559" max="12559" width="3.109375" style="138" customWidth="1"/>
    <col min="12560" max="12560" width="2.44140625" style="138" customWidth="1"/>
    <col min="12561" max="12561" width="2.109375" style="138" customWidth="1"/>
    <col min="12562" max="12562" width="3.44140625" style="138" customWidth="1"/>
    <col min="12563" max="12563" width="1.109375" style="138" customWidth="1"/>
    <col min="12564" max="12564" width="4.44140625" style="138" customWidth="1"/>
    <col min="12565" max="12565" width="0.109375" style="138" customWidth="1"/>
    <col min="12566" max="12566" width="3.21875" style="138" customWidth="1"/>
    <col min="12567" max="12567" width="1.33203125" style="138" customWidth="1"/>
    <col min="12568" max="12568" width="0.88671875" style="138" customWidth="1"/>
    <col min="12569" max="12569" width="3.6640625" style="138" customWidth="1"/>
    <col min="12570" max="12570" width="1.88671875" style="138" customWidth="1"/>
    <col min="12571" max="12571" width="2.6640625" style="138" customWidth="1"/>
    <col min="12572" max="12572" width="2.88671875" style="138" customWidth="1"/>
    <col min="12573" max="12573" width="1.6640625" style="138" customWidth="1"/>
    <col min="12574" max="12574" width="3.88671875" style="138" customWidth="1"/>
    <col min="12575" max="12575" width="0.6640625" style="138" customWidth="1"/>
    <col min="12576" max="12576" width="4.5546875" style="138" customWidth="1"/>
    <col min="12577" max="12577" width="0.33203125" style="138" customWidth="1"/>
    <col min="12578" max="12578" width="4.21875" style="138" customWidth="1"/>
    <col min="12579" max="12579" width="1.33203125" style="138" customWidth="1"/>
    <col min="12580" max="12580" width="3.21875" style="138" customWidth="1"/>
    <col min="12581" max="12581" width="2.33203125" style="138" customWidth="1"/>
    <col min="12582" max="12582" width="2.21875" style="138" customWidth="1"/>
    <col min="12583" max="12583" width="3.33203125" style="138" customWidth="1"/>
    <col min="12584" max="12584" width="1.21875" style="138" customWidth="1"/>
    <col min="12585" max="12585" width="4.33203125" style="138" customWidth="1"/>
    <col min="12586" max="12586" width="0.21875" style="138" customWidth="1"/>
    <col min="12587" max="12587" width="4.5546875" style="138" customWidth="1"/>
    <col min="12588" max="12588" width="0.77734375" style="138" customWidth="1"/>
    <col min="12589" max="12590" width="11.109375" style="138" customWidth="1"/>
    <col min="12591" max="12591" width="0.21875" style="138" customWidth="1"/>
    <col min="12592" max="12592" width="10.88671875" style="138" customWidth="1"/>
    <col min="12593" max="12612" width="11.109375" style="138" customWidth="1"/>
    <col min="12613" max="12800" width="8.88671875" style="138"/>
    <col min="12801" max="12801" width="4.5546875" style="138" customWidth="1"/>
    <col min="12802" max="12802" width="1" style="138" customWidth="1"/>
    <col min="12803" max="12803" width="3.5546875" style="138" customWidth="1"/>
    <col min="12804" max="12804" width="2" style="138" customWidth="1"/>
    <col min="12805" max="12805" width="0.21875" style="138" customWidth="1"/>
    <col min="12806" max="12806" width="2.33203125" style="138" customWidth="1"/>
    <col min="12807" max="12807" width="3" style="138" customWidth="1"/>
    <col min="12808" max="12808" width="1.5546875" style="138" customWidth="1"/>
    <col min="12809" max="12809" width="4" style="138" customWidth="1"/>
    <col min="12810" max="12810" width="0.5546875" style="138" customWidth="1"/>
    <col min="12811" max="12811" width="4.5546875" style="138" customWidth="1"/>
    <col min="12812" max="12812" width="0.44140625" style="138" customWidth="1"/>
    <col min="12813" max="12813" width="4.109375" style="138" customWidth="1"/>
    <col min="12814" max="12814" width="1.44140625" style="138" customWidth="1"/>
    <col min="12815" max="12815" width="3.109375" style="138" customWidth="1"/>
    <col min="12816" max="12816" width="2.44140625" style="138" customWidth="1"/>
    <col min="12817" max="12817" width="2.109375" style="138" customWidth="1"/>
    <col min="12818" max="12818" width="3.44140625" style="138" customWidth="1"/>
    <col min="12819" max="12819" width="1.109375" style="138" customWidth="1"/>
    <col min="12820" max="12820" width="4.44140625" style="138" customWidth="1"/>
    <col min="12821" max="12821" width="0.109375" style="138" customWidth="1"/>
    <col min="12822" max="12822" width="3.21875" style="138" customWidth="1"/>
    <col min="12823" max="12823" width="1.33203125" style="138" customWidth="1"/>
    <col min="12824" max="12824" width="0.88671875" style="138" customWidth="1"/>
    <col min="12825" max="12825" width="3.6640625" style="138" customWidth="1"/>
    <col min="12826" max="12826" width="1.88671875" style="138" customWidth="1"/>
    <col min="12827" max="12827" width="2.6640625" style="138" customWidth="1"/>
    <col min="12828" max="12828" width="2.88671875" style="138" customWidth="1"/>
    <col min="12829" max="12829" width="1.6640625" style="138" customWidth="1"/>
    <col min="12830" max="12830" width="3.88671875" style="138" customWidth="1"/>
    <col min="12831" max="12831" width="0.6640625" style="138" customWidth="1"/>
    <col min="12832" max="12832" width="4.5546875" style="138" customWidth="1"/>
    <col min="12833" max="12833" width="0.33203125" style="138" customWidth="1"/>
    <col min="12834" max="12834" width="4.21875" style="138" customWidth="1"/>
    <col min="12835" max="12835" width="1.33203125" style="138" customWidth="1"/>
    <col min="12836" max="12836" width="3.21875" style="138" customWidth="1"/>
    <col min="12837" max="12837" width="2.33203125" style="138" customWidth="1"/>
    <col min="12838" max="12838" width="2.21875" style="138" customWidth="1"/>
    <col min="12839" max="12839" width="3.33203125" style="138" customWidth="1"/>
    <col min="12840" max="12840" width="1.21875" style="138" customWidth="1"/>
    <col min="12841" max="12841" width="4.33203125" style="138" customWidth="1"/>
    <col min="12842" max="12842" width="0.21875" style="138" customWidth="1"/>
    <col min="12843" max="12843" width="4.5546875" style="138" customWidth="1"/>
    <col min="12844" max="12844" width="0.77734375" style="138" customWidth="1"/>
    <col min="12845" max="12846" width="11.109375" style="138" customWidth="1"/>
    <col min="12847" max="12847" width="0.21875" style="138" customWidth="1"/>
    <col min="12848" max="12848" width="10.88671875" style="138" customWidth="1"/>
    <col min="12849" max="12868" width="11.109375" style="138" customWidth="1"/>
    <col min="12869" max="13056" width="8.88671875" style="138"/>
    <col min="13057" max="13057" width="4.5546875" style="138" customWidth="1"/>
    <col min="13058" max="13058" width="1" style="138" customWidth="1"/>
    <col min="13059" max="13059" width="3.5546875" style="138" customWidth="1"/>
    <col min="13060" max="13060" width="2" style="138" customWidth="1"/>
    <col min="13061" max="13061" width="0.21875" style="138" customWidth="1"/>
    <col min="13062" max="13062" width="2.33203125" style="138" customWidth="1"/>
    <col min="13063" max="13063" width="3" style="138" customWidth="1"/>
    <col min="13064" max="13064" width="1.5546875" style="138" customWidth="1"/>
    <col min="13065" max="13065" width="4" style="138" customWidth="1"/>
    <col min="13066" max="13066" width="0.5546875" style="138" customWidth="1"/>
    <col min="13067" max="13067" width="4.5546875" style="138" customWidth="1"/>
    <col min="13068" max="13068" width="0.44140625" style="138" customWidth="1"/>
    <col min="13069" max="13069" width="4.109375" style="138" customWidth="1"/>
    <col min="13070" max="13070" width="1.44140625" style="138" customWidth="1"/>
    <col min="13071" max="13071" width="3.109375" style="138" customWidth="1"/>
    <col min="13072" max="13072" width="2.44140625" style="138" customWidth="1"/>
    <col min="13073" max="13073" width="2.109375" style="138" customWidth="1"/>
    <col min="13074" max="13074" width="3.44140625" style="138" customWidth="1"/>
    <col min="13075" max="13075" width="1.109375" style="138" customWidth="1"/>
    <col min="13076" max="13076" width="4.44140625" style="138" customWidth="1"/>
    <col min="13077" max="13077" width="0.109375" style="138" customWidth="1"/>
    <col min="13078" max="13078" width="3.21875" style="138" customWidth="1"/>
    <col min="13079" max="13079" width="1.33203125" style="138" customWidth="1"/>
    <col min="13080" max="13080" width="0.88671875" style="138" customWidth="1"/>
    <col min="13081" max="13081" width="3.6640625" style="138" customWidth="1"/>
    <col min="13082" max="13082" width="1.88671875" style="138" customWidth="1"/>
    <col min="13083" max="13083" width="2.6640625" style="138" customWidth="1"/>
    <col min="13084" max="13084" width="2.88671875" style="138" customWidth="1"/>
    <col min="13085" max="13085" width="1.6640625" style="138" customWidth="1"/>
    <col min="13086" max="13086" width="3.88671875" style="138" customWidth="1"/>
    <col min="13087" max="13087" width="0.6640625" style="138" customWidth="1"/>
    <col min="13088" max="13088" width="4.5546875" style="138" customWidth="1"/>
    <col min="13089" max="13089" width="0.33203125" style="138" customWidth="1"/>
    <col min="13090" max="13090" width="4.21875" style="138" customWidth="1"/>
    <col min="13091" max="13091" width="1.33203125" style="138" customWidth="1"/>
    <col min="13092" max="13092" width="3.21875" style="138" customWidth="1"/>
    <col min="13093" max="13093" width="2.33203125" style="138" customWidth="1"/>
    <col min="13094" max="13094" width="2.21875" style="138" customWidth="1"/>
    <col min="13095" max="13095" width="3.33203125" style="138" customWidth="1"/>
    <col min="13096" max="13096" width="1.21875" style="138" customWidth="1"/>
    <col min="13097" max="13097" width="4.33203125" style="138" customWidth="1"/>
    <col min="13098" max="13098" width="0.21875" style="138" customWidth="1"/>
    <col min="13099" max="13099" width="4.5546875" style="138" customWidth="1"/>
    <col min="13100" max="13100" width="0.77734375" style="138" customWidth="1"/>
    <col min="13101" max="13102" width="11.109375" style="138" customWidth="1"/>
    <col min="13103" max="13103" width="0.21875" style="138" customWidth="1"/>
    <col min="13104" max="13104" width="10.88671875" style="138" customWidth="1"/>
    <col min="13105" max="13124" width="11.109375" style="138" customWidth="1"/>
    <col min="13125" max="13312" width="8.88671875" style="138"/>
    <col min="13313" max="13313" width="4.5546875" style="138" customWidth="1"/>
    <col min="13314" max="13314" width="1" style="138" customWidth="1"/>
    <col min="13315" max="13315" width="3.5546875" style="138" customWidth="1"/>
    <col min="13316" max="13316" width="2" style="138" customWidth="1"/>
    <col min="13317" max="13317" width="0.21875" style="138" customWidth="1"/>
    <col min="13318" max="13318" width="2.33203125" style="138" customWidth="1"/>
    <col min="13319" max="13319" width="3" style="138" customWidth="1"/>
    <col min="13320" max="13320" width="1.5546875" style="138" customWidth="1"/>
    <col min="13321" max="13321" width="4" style="138" customWidth="1"/>
    <col min="13322" max="13322" width="0.5546875" style="138" customWidth="1"/>
    <col min="13323" max="13323" width="4.5546875" style="138" customWidth="1"/>
    <col min="13324" max="13324" width="0.44140625" style="138" customWidth="1"/>
    <col min="13325" max="13325" width="4.109375" style="138" customWidth="1"/>
    <col min="13326" max="13326" width="1.44140625" style="138" customWidth="1"/>
    <col min="13327" max="13327" width="3.109375" style="138" customWidth="1"/>
    <col min="13328" max="13328" width="2.44140625" style="138" customWidth="1"/>
    <col min="13329" max="13329" width="2.109375" style="138" customWidth="1"/>
    <col min="13330" max="13330" width="3.44140625" style="138" customWidth="1"/>
    <col min="13331" max="13331" width="1.109375" style="138" customWidth="1"/>
    <col min="13332" max="13332" width="4.44140625" style="138" customWidth="1"/>
    <col min="13333" max="13333" width="0.109375" style="138" customWidth="1"/>
    <col min="13334" max="13334" width="3.21875" style="138" customWidth="1"/>
    <col min="13335" max="13335" width="1.33203125" style="138" customWidth="1"/>
    <col min="13336" max="13336" width="0.88671875" style="138" customWidth="1"/>
    <col min="13337" max="13337" width="3.6640625" style="138" customWidth="1"/>
    <col min="13338" max="13338" width="1.88671875" style="138" customWidth="1"/>
    <col min="13339" max="13339" width="2.6640625" style="138" customWidth="1"/>
    <col min="13340" max="13340" width="2.88671875" style="138" customWidth="1"/>
    <col min="13341" max="13341" width="1.6640625" style="138" customWidth="1"/>
    <col min="13342" max="13342" width="3.88671875" style="138" customWidth="1"/>
    <col min="13343" max="13343" width="0.6640625" style="138" customWidth="1"/>
    <col min="13344" max="13344" width="4.5546875" style="138" customWidth="1"/>
    <col min="13345" max="13345" width="0.33203125" style="138" customWidth="1"/>
    <col min="13346" max="13346" width="4.21875" style="138" customWidth="1"/>
    <col min="13347" max="13347" width="1.33203125" style="138" customWidth="1"/>
    <col min="13348" max="13348" width="3.21875" style="138" customWidth="1"/>
    <col min="13349" max="13349" width="2.33203125" style="138" customWidth="1"/>
    <col min="13350" max="13350" width="2.21875" style="138" customWidth="1"/>
    <col min="13351" max="13351" width="3.33203125" style="138" customWidth="1"/>
    <col min="13352" max="13352" width="1.21875" style="138" customWidth="1"/>
    <col min="13353" max="13353" width="4.33203125" style="138" customWidth="1"/>
    <col min="13354" max="13354" width="0.21875" style="138" customWidth="1"/>
    <col min="13355" max="13355" width="4.5546875" style="138" customWidth="1"/>
    <col min="13356" max="13356" width="0.77734375" style="138" customWidth="1"/>
    <col min="13357" max="13358" width="11.109375" style="138" customWidth="1"/>
    <col min="13359" max="13359" width="0.21875" style="138" customWidth="1"/>
    <col min="13360" max="13360" width="10.88671875" style="138" customWidth="1"/>
    <col min="13361" max="13380" width="11.109375" style="138" customWidth="1"/>
    <col min="13381" max="13568" width="8.88671875" style="138"/>
    <col min="13569" max="13569" width="4.5546875" style="138" customWidth="1"/>
    <col min="13570" max="13570" width="1" style="138" customWidth="1"/>
    <col min="13571" max="13571" width="3.5546875" style="138" customWidth="1"/>
    <col min="13572" max="13572" width="2" style="138" customWidth="1"/>
    <col min="13573" max="13573" width="0.21875" style="138" customWidth="1"/>
    <col min="13574" max="13574" width="2.33203125" style="138" customWidth="1"/>
    <col min="13575" max="13575" width="3" style="138" customWidth="1"/>
    <col min="13576" max="13576" width="1.5546875" style="138" customWidth="1"/>
    <col min="13577" max="13577" width="4" style="138" customWidth="1"/>
    <col min="13578" max="13578" width="0.5546875" style="138" customWidth="1"/>
    <col min="13579" max="13579" width="4.5546875" style="138" customWidth="1"/>
    <col min="13580" max="13580" width="0.44140625" style="138" customWidth="1"/>
    <col min="13581" max="13581" width="4.109375" style="138" customWidth="1"/>
    <col min="13582" max="13582" width="1.44140625" style="138" customWidth="1"/>
    <col min="13583" max="13583" width="3.109375" style="138" customWidth="1"/>
    <col min="13584" max="13584" width="2.44140625" style="138" customWidth="1"/>
    <col min="13585" max="13585" width="2.109375" style="138" customWidth="1"/>
    <col min="13586" max="13586" width="3.44140625" style="138" customWidth="1"/>
    <col min="13587" max="13587" width="1.109375" style="138" customWidth="1"/>
    <col min="13588" max="13588" width="4.44140625" style="138" customWidth="1"/>
    <col min="13589" max="13589" width="0.109375" style="138" customWidth="1"/>
    <col min="13590" max="13590" width="3.21875" style="138" customWidth="1"/>
    <col min="13591" max="13591" width="1.33203125" style="138" customWidth="1"/>
    <col min="13592" max="13592" width="0.88671875" style="138" customWidth="1"/>
    <col min="13593" max="13593" width="3.6640625" style="138" customWidth="1"/>
    <col min="13594" max="13594" width="1.88671875" style="138" customWidth="1"/>
    <col min="13595" max="13595" width="2.6640625" style="138" customWidth="1"/>
    <col min="13596" max="13596" width="2.88671875" style="138" customWidth="1"/>
    <col min="13597" max="13597" width="1.6640625" style="138" customWidth="1"/>
    <col min="13598" max="13598" width="3.88671875" style="138" customWidth="1"/>
    <col min="13599" max="13599" width="0.6640625" style="138" customWidth="1"/>
    <col min="13600" max="13600" width="4.5546875" style="138" customWidth="1"/>
    <col min="13601" max="13601" width="0.33203125" style="138" customWidth="1"/>
    <col min="13602" max="13602" width="4.21875" style="138" customWidth="1"/>
    <col min="13603" max="13603" width="1.33203125" style="138" customWidth="1"/>
    <col min="13604" max="13604" width="3.21875" style="138" customWidth="1"/>
    <col min="13605" max="13605" width="2.33203125" style="138" customWidth="1"/>
    <col min="13606" max="13606" width="2.21875" style="138" customWidth="1"/>
    <col min="13607" max="13607" width="3.33203125" style="138" customWidth="1"/>
    <col min="13608" max="13608" width="1.21875" style="138" customWidth="1"/>
    <col min="13609" max="13609" width="4.33203125" style="138" customWidth="1"/>
    <col min="13610" max="13610" width="0.21875" style="138" customWidth="1"/>
    <col min="13611" max="13611" width="4.5546875" style="138" customWidth="1"/>
    <col min="13612" max="13612" width="0.77734375" style="138" customWidth="1"/>
    <col min="13613" max="13614" width="11.109375" style="138" customWidth="1"/>
    <col min="13615" max="13615" width="0.21875" style="138" customWidth="1"/>
    <col min="13616" max="13616" width="10.88671875" style="138" customWidth="1"/>
    <col min="13617" max="13636" width="11.109375" style="138" customWidth="1"/>
    <col min="13637" max="13824" width="8.88671875" style="138"/>
    <col min="13825" max="13825" width="4.5546875" style="138" customWidth="1"/>
    <col min="13826" max="13826" width="1" style="138" customWidth="1"/>
    <col min="13827" max="13827" width="3.5546875" style="138" customWidth="1"/>
    <col min="13828" max="13828" width="2" style="138" customWidth="1"/>
    <col min="13829" max="13829" width="0.21875" style="138" customWidth="1"/>
    <col min="13830" max="13830" width="2.33203125" style="138" customWidth="1"/>
    <col min="13831" max="13831" width="3" style="138" customWidth="1"/>
    <col min="13832" max="13832" width="1.5546875" style="138" customWidth="1"/>
    <col min="13833" max="13833" width="4" style="138" customWidth="1"/>
    <col min="13834" max="13834" width="0.5546875" style="138" customWidth="1"/>
    <col min="13835" max="13835" width="4.5546875" style="138" customWidth="1"/>
    <col min="13836" max="13836" width="0.44140625" style="138" customWidth="1"/>
    <col min="13837" max="13837" width="4.109375" style="138" customWidth="1"/>
    <col min="13838" max="13838" width="1.44140625" style="138" customWidth="1"/>
    <col min="13839" max="13839" width="3.109375" style="138" customWidth="1"/>
    <col min="13840" max="13840" width="2.44140625" style="138" customWidth="1"/>
    <col min="13841" max="13841" width="2.109375" style="138" customWidth="1"/>
    <col min="13842" max="13842" width="3.44140625" style="138" customWidth="1"/>
    <col min="13843" max="13843" width="1.109375" style="138" customWidth="1"/>
    <col min="13844" max="13844" width="4.44140625" style="138" customWidth="1"/>
    <col min="13845" max="13845" width="0.109375" style="138" customWidth="1"/>
    <col min="13846" max="13846" width="3.21875" style="138" customWidth="1"/>
    <col min="13847" max="13847" width="1.33203125" style="138" customWidth="1"/>
    <col min="13848" max="13848" width="0.88671875" style="138" customWidth="1"/>
    <col min="13849" max="13849" width="3.6640625" style="138" customWidth="1"/>
    <col min="13850" max="13850" width="1.88671875" style="138" customWidth="1"/>
    <col min="13851" max="13851" width="2.6640625" style="138" customWidth="1"/>
    <col min="13852" max="13852" width="2.88671875" style="138" customWidth="1"/>
    <col min="13853" max="13853" width="1.6640625" style="138" customWidth="1"/>
    <col min="13854" max="13854" width="3.88671875" style="138" customWidth="1"/>
    <col min="13855" max="13855" width="0.6640625" style="138" customWidth="1"/>
    <col min="13856" max="13856" width="4.5546875" style="138" customWidth="1"/>
    <col min="13857" max="13857" width="0.33203125" style="138" customWidth="1"/>
    <col min="13858" max="13858" width="4.21875" style="138" customWidth="1"/>
    <col min="13859" max="13859" width="1.33203125" style="138" customWidth="1"/>
    <col min="13860" max="13860" width="3.21875" style="138" customWidth="1"/>
    <col min="13861" max="13861" width="2.33203125" style="138" customWidth="1"/>
    <col min="13862" max="13862" width="2.21875" style="138" customWidth="1"/>
    <col min="13863" max="13863" width="3.33203125" style="138" customWidth="1"/>
    <col min="13864" max="13864" width="1.21875" style="138" customWidth="1"/>
    <col min="13865" max="13865" width="4.33203125" style="138" customWidth="1"/>
    <col min="13866" max="13866" width="0.21875" style="138" customWidth="1"/>
    <col min="13867" max="13867" width="4.5546875" style="138" customWidth="1"/>
    <col min="13868" max="13868" width="0.77734375" style="138" customWidth="1"/>
    <col min="13869" max="13870" width="11.109375" style="138" customWidth="1"/>
    <col min="13871" max="13871" width="0.21875" style="138" customWidth="1"/>
    <col min="13872" max="13872" width="10.88671875" style="138" customWidth="1"/>
    <col min="13873" max="13892" width="11.109375" style="138" customWidth="1"/>
    <col min="13893" max="14080" width="8.88671875" style="138"/>
    <col min="14081" max="14081" width="4.5546875" style="138" customWidth="1"/>
    <col min="14082" max="14082" width="1" style="138" customWidth="1"/>
    <col min="14083" max="14083" width="3.5546875" style="138" customWidth="1"/>
    <col min="14084" max="14084" width="2" style="138" customWidth="1"/>
    <col min="14085" max="14085" width="0.21875" style="138" customWidth="1"/>
    <col min="14086" max="14086" width="2.33203125" style="138" customWidth="1"/>
    <col min="14087" max="14087" width="3" style="138" customWidth="1"/>
    <col min="14088" max="14088" width="1.5546875" style="138" customWidth="1"/>
    <col min="14089" max="14089" width="4" style="138" customWidth="1"/>
    <col min="14090" max="14090" width="0.5546875" style="138" customWidth="1"/>
    <col min="14091" max="14091" width="4.5546875" style="138" customWidth="1"/>
    <col min="14092" max="14092" width="0.44140625" style="138" customWidth="1"/>
    <col min="14093" max="14093" width="4.109375" style="138" customWidth="1"/>
    <col min="14094" max="14094" width="1.44140625" style="138" customWidth="1"/>
    <col min="14095" max="14095" width="3.109375" style="138" customWidth="1"/>
    <col min="14096" max="14096" width="2.44140625" style="138" customWidth="1"/>
    <col min="14097" max="14097" width="2.109375" style="138" customWidth="1"/>
    <col min="14098" max="14098" width="3.44140625" style="138" customWidth="1"/>
    <col min="14099" max="14099" width="1.109375" style="138" customWidth="1"/>
    <col min="14100" max="14100" width="4.44140625" style="138" customWidth="1"/>
    <col min="14101" max="14101" width="0.109375" style="138" customWidth="1"/>
    <col min="14102" max="14102" width="3.21875" style="138" customWidth="1"/>
    <col min="14103" max="14103" width="1.33203125" style="138" customWidth="1"/>
    <col min="14104" max="14104" width="0.88671875" style="138" customWidth="1"/>
    <col min="14105" max="14105" width="3.6640625" style="138" customWidth="1"/>
    <col min="14106" max="14106" width="1.88671875" style="138" customWidth="1"/>
    <col min="14107" max="14107" width="2.6640625" style="138" customWidth="1"/>
    <col min="14108" max="14108" width="2.88671875" style="138" customWidth="1"/>
    <col min="14109" max="14109" width="1.6640625" style="138" customWidth="1"/>
    <col min="14110" max="14110" width="3.88671875" style="138" customWidth="1"/>
    <col min="14111" max="14111" width="0.6640625" style="138" customWidth="1"/>
    <col min="14112" max="14112" width="4.5546875" style="138" customWidth="1"/>
    <col min="14113" max="14113" width="0.33203125" style="138" customWidth="1"/>
    <col min="14114" max="14114" width="4.21875" style="138" customWidth="1"/>
    <col min="14115" max="14115" width="1.33203125" style="138" customWidth="1"/>
    <col min="14116" max="14116" width="3.21875" style="138" customWidth="1"/>
    <col min="14117" max="14117" width="2.33203125" style="138" customWidth="1"/>
    <col min="14118" max="14118" width="2.21875" style="138" customWidth="1"/>
    <col min="14119" max="14119" width="3.33203125" style="138" customWidth="1"/>
    <col min="14120" max="14120" width="1.21875" style="138" customWidth="1"/>
    <col min="14121" max="14121" width="4.33203125" style="138" customWidth="1"/>
    <col min="14122" max="14122" width="0.21875" style="138" customWidth="1"/>
    <col min="14123" max="14123" width="4.5546875" style="138" customWidth="1"/>
    <col min="14124" max="14124" width="0.77734375" style="138" customWidth="1"/>
    <col min="14125" max="14126" width="11.109375" style="138" customWidth="1"/>
    <col min="14127" max="14127" width="0.21875" style="138" customWidth="1"/>
    <col min="14128" max="14128" width="10.88671875" style="138" customWidth="1"/>
    <col min="14129" max="14148" width="11.109375" style="138" customWidth="1"/>
    <col min="14149" max="14336" width="8.88671875" style="138"/>
    <col min="14337" max="14337" width="4.5546875" style="138" customWidth="1"/>
    <col min="14338" max="14338" width="1" style="138" customWidth="1"/>
    <col min="14339" max="14339" width="3.5546875" style="138" customWidth="1"/>
    <col min="14340" max="14340" width="2" style="138" customWidth="1"/>
    <col min="14341" max="14341" width="0.21875" style="138" customWidth="1"/>
    <col min="14342" max="14342" width="2.33203125" style="138" customWidth="1"/>
    <col min="14343" max="14343" width="3" style="138" customWidth="1"/>
    <col min="14344" max="14344" width="1.5546875" style="138" customWidth="1"/>
    <col min="14345" max="14345" width="4" style="138" customWidth="1"/>
    <col min="14346" max="14346" width="0.5546875" style="138" customWidth="1"/>
    <col min="14347" max="14347" width="4.5546875" style="138" customWidth="1"/>
    <col min="14348" max="14348" width="0.44140625" style="138" customWidth="1"/>
    <col min="14349" max="14349" width="4.109375" style="138" customWidth="1"/>
    <col min="14350" max="14350" width="1.44140625" style="138" customWidth="1"/>
    <col min="14351" max="14351" width="3.109375" style="138" customWidth="1"/>
    <col min="14352" max="14352" width="2.44140625" style="138" customWidth="1"/>
    <col min="14353" max="14353" width="2.109375" style="138" customWidth="1"/>
    <col min="14354" max="14354" width="3.44140625" style="138" customWidth="1"/>
    <col min="14355" max="14355" width="1.109375" style="138" customWidth="1"/>
    <col min="14356" max="14356" width="4.44140625" style="138" customWidth="1"/>
    <col min="14357" max="14357" width="0.109375" style="138" customWidth="1"/>
    <col min="14358" max="14358" width="3.21875" style="138" customWidth="1"/>
    <col min="14359" max="14359" width="1.33203125" style="138" customWidth="1"/>
    <col min="14360" max="14360" width="0.88671875" style="138" customWidth="1"/>
    <col min="14361" max="14361" width="3.6640625" style="138" customWidth="1"/>
    <col min="14362" max="14362" width="1.88671875" style="138" customWidth="1"/>
    <col min="14363" max="14363" width="2.6640625" style="138" customWidth="1"/>
    <col min="14364" max="14364" width="2.88671875" style="138" customWidth="1"/>
    <col min="14365" max="14365" width="1.6640625" style="138" customWidth="1"/>
    <col min="14366" max="14366" width="3.88671875" style="138" customWidth="1"/>
    <col min="14367" max="14367" width="0.6640625" style="138" customWidth="1"/>
    <col min="14368" max="14368" width="4.5546875" style="138" customWidth="1"/>
    <col min="14369" max="14369" width="0.33203125" style="138" customWidth="1"/>
    <col min="14370" max="14370" width="4.21875" style="138" customWidth="1"/>
    <col min="14371" max="14371" width="1.33203125" style="138" customWidth="1"/>
    <col min="14372" max="14372" width="3.21875" style="138" customWidth="1"/>
    <col min="14373" max="14373" width="2.33203125" style="138" customWidth="1"/>
    <col min="14374" max="14374" width="2.21875" style="138" customWidth="1"/>
    <col min="14375" max="14375" width="3.33203125" style="138" customWidth="1"/>
    <col min="14376" max="14376" width="1.21875" style="138" customWidth="1"/>
    <col min="14377" max="14377" width="4.33203125" style="138" customWidth="1"/>
    <col min="14378" max="14378" width="0.21875" style="138" customWidth="1"/>
    <col min="14379" max="14379" width="4.5546875" style="138" customWidth="1"/>
    <col min="14380" max="14380" width="0.77734375" style="138" customWidth="1"/>
    <col min="14381" max="14382" width="11.109375" style="138" customWidth="1"/>
    <col min="14383" max="14383" width="0.21875" style="138" customWidth="1"/>
    <col min="14384" max="14384" width="10.88671875" style="138" customWidth="1"/>
    <col min="14385" max="14404" width="11.109375" style="138" customWidth="1"/>
    <col min="14405" max="14592" width="8.88671875" style="138"/>
    <col min="14593" max="14593" width="4.5546875" style="138" customWidth="1"/>
    <col min="14594" max="14594" width="1" style="138" customWidth="1"/>
    <col min="14595" max="14595" width="3.5546875" style="138" customWidth="1"/>
    <col min="14596" max="14596" width="2" style="138" customWidth="1"/>
    <col min="14597" max="14597" width="0.21875" style="138" customWidth="1"/>
    <col min="14598" max="14598" width="2.33203125" style="138" customWidth="1"/>
    <col min="14599" max="14599" width="3" style="138" customWidth="1"/>
    <col min="14600" max="14600" width="1.5546875" style="138" customWidth="1"/>
    <col min="14601" max="14601" width="4" style="138" customWidth="1"/>
    <col min="14602" max="14602" width="0.5546875" style="138" customWidth="1"/>
    <col min="14603" max="14603" width="4.5546875" style="138" customWidth="1"/>
    <col min="14604" max="14604" width="0.44140625" style="138" customWidth="1"/>
    <col min="14605" max="14605" width="4.109375" style="138" customWidth="1"/>
    <col min="14606" max="14606" width="1.44140625" style="138" customWidth="1"/>
    <col min="14607" max="14607" width="3.109375" style="138" customWidth="1"/>
    <col min="14608" max="14608" width="2.44140625" style="138" customWidth="1"/>
    <col min="14609" max="14609" width="2.109375" style="138" customWidth="1"/>
    <col min="14610" max="14610" width="3.44140625" style="138" customWidth="1"/>
    <col min="14611" max="14611" width="1.109375" style="138" customWidth="1"/>
    <col min="14612" max="14612" width="4.44140625" style="138" customWidth="1"/>
    <col min="14613" max="14613" width="0.109375" style="138" customWidth="1"/>
    <col min="14614" max="14614" width="3.21875" style="138" customWidth="1"/>
    <col min="14615" max="14615" width="1.33203125" style="138" customWidth="1"/>
    <col min="14616" max="14616" width="0.88671875" style="138" customWidth="1"/>
    <col min="14617" max="14617" width="3.6640625" style="138" customWidth="1"/>
    <col min="14618" max="14618" width="1.88671875" style="138" customWidth="1"/>
    <col min="14619" max="14619" width="2.6640625" style="138" customWidth="1"/>
    <col min="14620" max="14620" width="2.88671875" style="138" customWidth="1"/>
    <col min="14621" max="14621" width="1.6640625" style="138" customWidth="1"/>
    <col min="14622" max="14622" width="3.88671875" style="138" customWidth="1"/>
    <col min="14623" max="14623" width="0.6640625" style="138" customWidth="1"/>
    <col min="14624" max="14624" width="4.5546875" style="138" customWidth="1"/>
    <col min="14625" max="14625" width="0.33203125" style="138" customWidth="1"/>
    <col min="14626" max="14626" width="4.21875" style="138" customWidth="1"/>
    <col min="14627" max="14627" width="1.33203125" style="138" customWidth="1"/>
    <col min="14628" max="14628" width="3.21875" style="138" customWidth="1"/>
    <col min="14629" max="14629" width="2.33203125" style="138" customWidth="1"/>
    <col min="14630" max="14630" width="2.21875" style="138" customWidth="1"/>
    <col min="14631" max="14631" width="3.33203125" style="138" customWidth="1"/>
    <col min="14632" max="14632" width="1.21875" style="138" customWidth="1"/>
    <col min="14633" max="14633" width="4.33203125" style="138" customWidth="1"/>
    <col min="14634" max="14634" width="0.21875" style="138" customWidth="1"/>
    <col min="14635" max="14635" width="4.5546875" style="138" customWidth="1"/>
    <col min="14636" max="14636" width="0.77734375" style="138" customWidth="1"/>
    <col min="14637" max="14638" width="11.109375" style="138" customWidth="1"/>
    <col min="14639" max="14639" width="0.21875" style="138" customWidth="1"/>
    <col min="14640" max="14640" width="10.88671875" style="138" customWidth="1"/>
    <col min="14641" max="14660" width="11.109375" style="138" customWidth="1"/>
    <col min="14661" max="14848" width="8.88671875" style="138"/>
    <col min="14849" max="14849" width="4.5546875" style="138" customWidth="1"/>
    <col min="14850" max="14850" width="1" style="138" customWidth="1"/>
    <col min="14851" max="14851" width="3.5546875" style="138" customWidth="1"/>
    <col min="14852" max="14852" width="2" style="138" customWidth="1"/>
    <col min="14853" max="14853" width="0.21875" style="138" customWidth="1"/>
    <col min="14854" max="14854" width="2.33203125" style="138" customWidth="1"/>
    <col min="14855" max="14855" width="3" style="138" customWidth="1"/>
    <col min="14856" max="14856" width="1.5546875" style="138" customWidth="1"/>
    <col min="14857" max="14857" width="4" style="138" customWidth="1"/>
    <col min="14858" max="14858" width="0.5546875" style="138" customWidth="1"/>
    <col min="14859" max="14859" width="4.5546875" style="138" customWidth="1"/>
    <col min="14860" max="14860" width="0.44140625" style="138" customWidth="1"/>
    <col min="14861" max="14861" width="4.109375" style="138" customWidth="1"/>
    <col min="14862" max="14862" width="1.44140625" style="138" customWidth="1"/>
    <col min="14863" max="14863" width="3.109375" style="138" customWidth="1"/>
    <col min="14864" max="14864" width="2.44140625" style="138" customWidth="1"/>
    <col min="14865" max="14865" width="2.109375" style="138" customWidth="1"/>
    <col min="14866" max="14866" width="3.44140625" style="138" customWidth="1"/>
    <col min="14867" max="14867" width="1.109375" style="138" customWidth="1"/>
    <col min="14868" max="14868" width="4.44140625" style="138" customWidth="1"/>
    <col min="14869" max="14869" width="0.109375" style="138" customWidth="1"/>
    <col min="14870" max="14870" width="3.21875" style="138" customWidth="1"/>
    <col min="14871" max="14871" width="1.33203125" style="138" customWidth="1"/>
    <col min="14872" max="14872" width="0.88671875" style="138" customWidth="1"/>
    <col min="14873" max="14873" width="3.6640625" style="138" customWidth="1"/>
    <col min="14874" max="14874" width="1.88671875" style="138" customWidth="1"/>
    <col min="14875" max="14875" width="2.6640625" style="138" customWidth="1"/>
    <col min="14876" max="14876" width="2.88671875" style="138" customWidth="1"/>
    <col min="14877" max="14877" width="1.6640625" style="138" customWidth="1"/>
    <col min="14878" max="14878" width="3.88671875" style="138" customWidth="1"/>
    <col min="14879" max="14879" width="0.6640625" style="138" customWidth="1"/>
    <col min="14880" max="14880" width="4.5546875" style="138" customWidth="1"/>
    <col min="14881" max="14881" width="0.33203125" style="138" customWidth="1"/>
    <col min="14882" max="14882" width="4.21875" style="138" customWidth="1"/>
    <col min="14883" max="14883" width="1.33203125" style="138" customWidth="1"/>
    <col min="14884" max="14884" width="3.21875" style="138" customWidth="1"/>
    <col min="14885" max="14885" width="2.33203125" style="138" customWidth="1"/>
    <col min="14886" max="14886" width="2.21875" style="138" customWidth="1"/>
    <col min="14887" max="14887" width="3.33203125" style="138" customWidth="1"/>
    <col min="14888" max="14888" width="1.21875" style="138" customWidth="1"/>
    <col min="14889" max="14889" width="4.33203125" style="138" customWidth="1"/>
    <col min="14890" max="14890" width="0.21875" style="138" customWidth="1"/>
    <col min="14891" max="14891" width="4.5546875" style="138" customWidth="1"/>
    <col min="14892" max="14892" width="0.77734375" style="138" customWidth="1"/>
    <col min="14893" max="14894" width="11.109375" style="138" customWidth="1"/>
    <col min="14895" max="14895" width="0.21875" style="138" customWidth="1"/>
    <col min="14896" max="14896" width="10.88671875" style="138" customWidth="1"/>
    <col min="14897" max="14916" width="11.109375" style="138" customWidth="1"/>
    <col min="14917" max="15104" width="8.88671875" style="138"/>
    <col min="15105" max="15105" width="4.5546875" style="138" customWidth="1"/>
    <col min="15106" max="15106" width="1" style="138" customWidth="1"/>
    <col min="15107" max="15107" width="3.5546875" style="138" customWidth="1"/>
    <col min="15108" max="15108" width="2" style="138" customWidth="1"/>
    <col min="15109" max="15109" width="0.21875" style="138" customWidth="1"/>
    <col min="15110" max="15110" width="2.33203125" style="138" customWidth="1"/>
    <col min="15111" max="15111" width="3" style="138" customWidth="1"/>
    <col min="15112" max="15112" width="1.5546875" style="138" customWidth="1"/>
    <col min="15113" max="15113" width="4" style="138" customWidth="1"/>
    <col min="15114" max="15114" width="0.5546875" style="138" customWidth="1"/>
    <col min="15115" max="15115" width="4.5546875" style="138" customWidth="1"/>
    <col min="15116" max="15116" width="0.44140625" style="138" customWidth="1"/>
    <col min="15117" max="15117" width="4.109375" style="138" customWidth="1"/>
    <col min="15118" max="15118" width="1.44140625" style="138" customWidth="1"/>
    <col min="15119" max="15119" width="3.109375" style="138" customWidth="1"/>
    <col min="15120" max="15120" width="2.44140625" style="138" customWidth="1"/>
    <col min="15121" max="15121" width="2.109375" style="138" customWidth="1"/>
    <col min="15122" max="15122" width="3.44140625" style="138" customWidth="1"/>
    <col min="15123" max="15123" width="1.109375" style="138" customWidth="1"/>
    <col min="15124" max="15124" width="4.44140625" style="138" customWidth="1"/>
    <col min="15125" max="15125" width="0.109375" style="138" customWidth="1"/>
    <col min="15126" max="15126" width="3.21875" style="138" customWidth="1"/>
    <col min="15127" max="15127" width="1.33203125" style="138" customWidth="1"/>
    <col min="15128" max="15128" width="0.88671875" style="138" customWidth="1"/>
    <col min="15129" max="15129" width="3.6640625" style="138" customWidth="1"/>
    <col min="15130" max="15130" width="1.88671875" style="138" customWidth="1"/>
    <col min="15131" max="15131" width="2.6640625" style="138" customWidth="1"/>
    <col min="15132" max="15132" width="2.88671875" style="138" customWidth="1"/>
    <col min="15133" max="15133" width="1.6640625" style="138" customWidth="1"/>
    <col min="15134" max="15134" width="3.88671875" style="138" customWidth="1"/>
    <col min="15135" max="15135" width="0.6640625" style="138" customWidth="1"/>
    <col min="15136" max="15136" width="4.5546875" style="138" customWidth="1"/>
    <col min="15137" max="15137" width="0.33203125" style="138" customWidth="1"/>
    <col min="15138" max="15138" width="4.21875" style="138" customWidth="1"/>
    <col min="15139" max="15139" width="1.33203125" style="138" customWidth="1"/>
    <col min="15140" max="15140" width="3.21875" style="138" customWidth="1"/>
    <col min="15141" max="15141" width="2.33203125" style="138" customWidth="1"/>
    <col min="15142" max="15142" width="2.21875" style="138" customWidth="1"/>
    <col min="15143" max="15143" width="3.33203125" style="138" customWidth="1"/>
    <col min="15144" max="15144" width="1.21875" style="138" customWidth="1"/>
    <col min="15145" max="15145" width="4.33203125" style="138" customWidth="1"/>
    <col min="15146" max="15146" width="0.21875" style="138" customWidth="1"/>
    <col min="15147" max="15147" width="4.5546875" style="138" customWidth="1"/>
    <col min="15148" max="15148" width="0.77734375" style="138" customWidth="1"/>
    <col min="15149" max="15150" width="11.109375" style="138" customWidth="1"/>
    <col min="15151" max="15151" width="0.21875" style="138" customWidth="1"/>
    <col min="15152" max="15152" width="10.88671875" style="138" customWidth="1"/>
    <col min="15153" max="15172" width="11.109375" style="138" customWidth="1"/>
    <col min="15173" max="15360" width="8.88671875" style="138"/>
    <col min="15361" max="15361" width="4.5546875" style="138" customWidth="1"/>
    <col min="15362" max="15362" width="1" style="138" customWidth="1"/>
    <col min="15363" max="15363" width="3.5546875" style="138" customWidth="1"/>
    <col min="15364" max="15364" width="2" style="138" customWidth="1"/>
    <col min="15365" max="15365" width="0.21875" style="138" customWidth="1"/>
    <col min="15366" max="15366" width="2.33203125" style="138" customWidth="1"/>
    <col min="15367" max="15367" width="3" style="138" customWidth="1"/>
    <col min="15368" max="15368" width="1.5546875" style="138" customWidth="1"/>
    <col min="15369" max="15369" width="4" style="138" customWidth="1"/>
    <col min="15370" max="15370" width="0.5546875" style="138" customWidth="1"/>
    <col min="15371" max="15371" width="4.5546875" style="138" customWidth="1"/>
    <col min="15372" max="15372" width="0.44140625" style="138" customWidth="1"/>
    <col min="15373" max="15373" width="4.109375" style="138" customWidth="1"/>
    <col min="15374" max="15374" width="1.44140625" style="138" customWidth="1"/>
    <col min="15375" max="15375" width="3.109375" style="138" customWidth="1"/>
    <col min="15376" max="15376" width="2.44140625" style="138" customWidth="1"/>
    <col min="15377" max="15377" width="2.109375" style="138" customWidth="1"/>
    <col min="15378" max="15378" width="3.44140625" style="138" customWidth="1"/>
    <col min="15379" max="15379" width="1.109375" style="138" customWidth="1"/>
    <col min="15380" max="15380" width="4.44140625" style="138" customWidth="1"/>
    <col min="15381" max="15381" width="0.109375" style="138" customWidth="1"/>
    <col min="15382" max="15382" width="3.21875" style="138" customWidth="1"/>
    <col min="15383" max="15383" width="1.33203125" style="138" customWidth="1"/>
    <col min="15384" max="15384" width="0.88671875" style="138" customWidth="1"/>
    <col min="15385" max="15385" width="3.6640625" style="138" customWidth="1"/>
    <col min="15386" max="15386" width="1.88671875" style="138" customWidth="1"/>
    <col min="15387" max="15387" width="2.6640625" style="138" customWidth="1"/>
    <col min="15388" max="15388" width="2.88671875" style="138" customWidth="1"/>
    <col min="15389" max="15389" width="1.6640625" style="138" customWidth="1"/>
    <col min="15390" max="15390" width="3.88671875" style="138" customWidth="1"/>
    <col min="15391" max="15391" width="0.6640625" style="138" customWidth="1"/>
    <col min="15392" max="15392" width="4.5546875" style="138" customWidth="1"/>
    <col min="15393" max="15393" width="0.33203125" style="138" customWidth="1"/>
    <col min="15394" max="15394" width="4.21875" style="138" customWidth="1"/>
    <col min="15395" max="15395" width="1.33203125" style="138" customWidth="1"/>
    <col min="15396" max="15396" width="3.21875" style="138" customWidth="1"/>
    <col min="15397" max="15397" width="2.33203125" style="138" customWidth="1"/>
    <col min="15398" max="15398" width="2.21875" style="138" customWidth="1"/>
    <col min="15399" max="15399" width="3.33203125" style="138" customWidth="1"/>
    <col min="15400" max="15400" width="1.21875" style="138" customWidth="1"/>
    <col min="15401" max="15401" width="4.33203125" style="138" customWidth="1"/>
    <col min="15402" max="15402" width="0.21875" style="138" customWidth="1"/>
    <col min="15403" max="15403" width="4.5546875" style="138" customWidth="1"/>
    <col min="15404" max="15404" width="0.77734375" style="138" customWidth="1"/>
    <col min="15405" max="15406" width="11.109375" style="138" customWidth="1"/>
    <col min="15407" max="15407" width="0.21875" style="138" customWidth="1"/>
    <col min="15408" max="15408" width="10.88671875" style="138" customWidth="1"/>
    <col min="15409" max="15428" width="11.109375" style="138" customWidth="1"/>
    <col min="15429" max="15616" width="8.88671875" style="138"/>
    <col min="15617" max="15617" width="4.5546875" style="138" customWidth="1"/>
    <col min="15618" max="15618" width="1" style="138" customWidth="1"/>
    <col min="15619" max="15619" width="3.5546875" style="138" customWidth="1"/>
    <col min="15620" max="15620" width="2" style="138" customWidth="1"/>
    <col min="15621" max="15621" width="0.21875" style="138" customWidth="1"/>
    <col min="15622" max="15622" width="2.33203125" style="138" customWidth="1"/>
    <col min="15623" max="15623" width="3" style="138" customWidth="1"/>
    <col min="15624" max="15624" width="1.5546875" style="138" customWidth="1"/>
    <col min="15625" max="15625" width="4" style="138" customWidth="1"/>
    <col min="15626" max="15626" width="0.5546875" style="138" customWidth="1"/>
    <col min="15627" max="15627" width="4.5546875" style="138" customWidth="1"/>
    <col min="15628" max="15628" width="0.44140625" style="138" customWidth="1"/>
    <col min="15629" max="15629" width="4.109375" style="138" customWidth="1"/>
    <col min="15630" max="15630" width="1.44140625" style="138" customWidth="1"/>
    <col min="15631" max="15631" width="3.109375" style="138" customWidth="1"/>
    <col min="15632" max="15632" width="2.44140625" style="138" customWidth="1"/>
    <col min="15633" max="15633" width="2.109375" style="138" customWidth="1"/>
    <col min="15634" max="15634" width="3.44140625" style="138" customWidth="1"/>
    <col min="15635" max="15635" width="1.109375" style="138" customWidth="1"/>
    <col min="15636" max="15636" width="4.44140625" style="138" customWidth="1"/>
    <col min="15637" max="15637" width="0.109375" style="138" customWidth="1"/>
    <col min="15638" max="15638" width="3.21875" style="138" customWidth="1"/>
    <col min="15639" max="15639" width="1.33203125" style="138" customWidth="1"/>
    <col min="15640" max="15640" width="0.88671875" style="138" customWidth="1"/>
    <col min="15641" max="15641" width="3.6640625" style="138" customWidth="1"/>
    <col min="15642" max="15642" width="1.88671875" style="138" customWidth="1"/>
    <col min="15643" max="15643" width="2.6640625" style="138" customWidth="1"/>
    <col min="15644" max="15644" width="2.88671875" style="138" customWidth="1"/>
    <col min="15645" max="15645" width="1.6640625" style="138" customWidth="1"/>
    <col min="15646" max="15646" width="3.88671875" style="138" customWidth="1"/>
    <col min="15647" max="15647" width="0.6640625" style="138" customWidth="1"/>
    <col min="15648" max="15648" width="4.5546875" style="138" customWidth="1"/>
    <col min="15649" max="15649" width="0.33203125" style="138" customWidth="1"/>
    <col min="15650" max="15650" width="4.21875" style="138" customWidth="1"/>
    <col min="15651" max="15651" width="1.33203125" style="138" customWidth="1"/>
    <col min="15652" max="15652" width="3.21875" style="138" customWidth="1"/>
    <col min="15653" max="15653" width="2.33203125" style="138" customWidth="1"/>
    <col min="15654" max="15654" width="2.21875" style="138" customWidth="1"/>
    <col min="15655" max="15655" width="3.33203125" style="138" customWidth="1"/>
    <col min="15656" max="15656" width="1.21875" style="138" customWidth="1"/>
    <col min="15657" max="15657" width="4.33203125" style="138" customWidth="1"/>
    <col min="15658" max="15658" width="0.21875" style="138" customWidth="1"/>
    <col min="15659" max="15659" width="4.5546875" style="138" customWidth="1"/>
    <col min="15660" max="15660" width="0.77734375" style="138" customWidth="1"/>
    <col min="15661" max="15662" width="11.109375" style="138" customWidth="1"/>
    <col min="15663" max="15663" width="0.21875" style="138" customWidth="1"/>
    <col min="15664" max="15664" width="10.88671875" style="138" customWidth="1"/>
    <col min="15665" max="15684" width="11.109375" style="138" customWidth="1"/>
    <col min="15685" max="15872" width="8.88671875" style="138"/>
    <col min="15873" max="15873" width="4.5546875" style="138" customWidth="1"/>
    <col min="15874" max="15874" width="1" style="138" customWidth="1"/>
    <col min="15875" max="15875" width="3.5546875" style="138" customWidth="1"/>
    <col min="15876" max="15876" width="2" style="138" customWidth="1"/>
    <col min="15877" max="15877" width="0.21875" style="138" customWidth="1"/>
    <col min="15878" max="15878" width="2.33203125" style="138" customWidth="1"/>
    <col min="15879" max="15879" width="3" style="138" customWidth="1"/>
    <col min="15880" max="15880" width="1.5546875" style="138" customWidth="1"/>
    <col min="15881" max="15881" width="4" style="138" customWidth="1"/>
    <col min="15882" max="15882" width="0.5546875" style="138" customWidth="1"/>
    <col min="15883" max="15883" width="4.5546875" style="138" customWidth="1"/>
    <col min="15884" max="15884" width="0.44140625" style="138" customWidth="1"/>
    <col min="15885" max="15885" width="4.109375" style="138" customWidth="1"/>
    <col min="15886" max="15886" width="1.44140625" style="138" customWidth="1"/>
    <col min="15887" max="15887" width="3.109375" style="138" customWidth="1"/>
    <col min="15888" max="15888" width="2.44140625" style="138" customWidth="1"/>
    <col min="15889" max="15889" width="2.109375" style="138" customWidth="1"/>
    <col min="15890" max="15890" width="3.44140625" style="138" customWidth="1"/>
    <col min="15891" max="15891" width="1.109375" style="138" customWidth="1"/>
    <col min="15892" max="15892" width="4.44140625" style="138" customWidth="1"/>
    <col min="15893" max="15893" width="0.109375" style="138" customWidth="1"/>
    <col min="15894" max="15894" width="3.21875" style="138" customWidth="1"/>
    <col min="15895" max="15895" width="1.33203125" style="138" customWidth="1"/>
    <col min="15896" max="15896" width="0.88671875" style="138" customWidth="1"/>
    <col min="15897" max="15897" width="3.6640625" style="138" customWidth="1"/>
    <col min="15898" max="15898" width="1.88671875" style="138" customWidth="1"/>
    <col min="15899" max="15899" width="2.6640625" style="138" customWidth="1"/>
    <col min="15900" max="15900" width="2.88671875" style="138" customWidth="1"/>
    <col min="15901" max="15901" width="1.6640625" style="138" customWidth="1"/>
    <col min="15902" max="15902" width="3.88671875" style="138" customWidth="1"/>
    <col min="15903" max="15903" width="0.6640625" style="138" customWidth="1"/>
    <col min="15904" max="15904" width="4.5546875" style="138" customWidth="1"/>
    <col min="15905" max="15905" width="0.33203125" style="138" customWidth="1"/>
    <col min="15906" max="15906" width="4.21875" style="138" customWidth="1"/>
    <col min="15907" max="15907" width="1.33203125" style="138" customWidth="1"/>
    <col min="15908" max="15908" width="3.21875" style="138" customWidth="1"/>
    <col min="15909" max="15909" width="2.33203125" style="138" customWidth="1"/>
    <col min="15910" max="15910" width="2.21875" style="138" customWidth="1"/>
    <col min="15911" max="15911" width="3.33203125" style="138" customWidth="1"/>
    <col min="15912" max="15912" width="1.21875" style="138" customWidth="1"/>
    <col min="15913" max="15913" width="4.33203125" style="138" customWidth="1"/>
    <col min="15914" max="15914" width="0.21875" style="138" customWidth="1"/>
    <col min="15915" max="15915" width="4.5546875" style="138" customWidth="1"/>
    <col min="15916" max="15916" width="0.77734375" style="138" customWidth="1"/>
    <col min="15917" max="15918" width="11.109375" style="138" customWidth="1"/>
    <col min="15919" max="15919" width="0.21875" style="138" customWidth="1"/>
    <col min="15920" max="15920" width="10.88671875" style="138" customWidth="1"/>
    <col min="15921" max="15940" width="11.109375" style="138" customWidth="1"/>
    <col min="15941" max="16128" width="8.88671875" style="138"/>
    <col min="16129" max="16129" width="4.5546875" style="138" customWidth="1"/>
    <col min="16130" max="16130" width="1" style="138" customWidth="1"/>
    <col min="16131" max="16131" width="3.5546875" style="138" customWidth="1"/>
    <col min="16132" max="16132" width="2" style="138" customWidth="1"/>
    <col min="16133" max="16133" width="0.21875" style="138" customWidth="1"/>
    <col min="16134" max="16134" width="2.33203125" style="138" customWidth="1"/>
    <col min="16135" max="16135" width="3" style="138" customWidth="1"/>
    <col min="16136" max="16136" width="1.5546875" style="138" customWidth="1"/>
    <col min="16137" max="16137" width="4" style="138" customWidth="1"/>
    <col min="16138" max="16138" width="0.5546875" style="138" customWidth="1"/>
    <col min="16139" max="16139" width="4.5546875" style="138" customWidth="1"/>
    <col min="16140" max="16140" width="0.44140625" style="138" customWidth="1"/>
    <col min="16141" max="16141" width="4.109375" style="138" customWidth="1"/>
    <col min="16142" max="16142" width="1.44140625" style="138" customWidth="1"/>
    <col min="16143" max="16143" width="3.109375" style="138" customWidth="1"/>
    <col min="16144" max="16144" width="2.44140625" style="138" customWidth="1"/>
    <col min="16145" max="16145" width="2.109375" style="138" customWidth="1"/>
    <col min="16146" max="16146" width="3.44140625" style="138" customWidth="1"/>
    <col min="16147" max="16147" width="1.109375" style="138" customWidth="1"/>
    <col min="16148" max="16148" width="4.44140625" style="138" customWidth="1"/>
    <col min="16149" max="16149" width="0.109375" style="138" customWidth="1"/>
    <col min="16150" max="16150" width="3.21875" style="138" customWidth="1"/>
    <col min="16151" max="16151" width="1.33203125" style="138" customWidth="1"/>
    <col min="16152" max="16152" width="0.88671875" style="138" customWidth="1"/>
    <col min="16153" max="16153" width="3.6640625" style="138" customWidth="1"/>
    <col min="16154" max="16154" width="1.88671875" style="138" customWidth="1"/>
    <col min="16155" max="16155" width="2.6640625" style="138" customWidth="1"/>
    <col min="16156" max="16156" width="2.88671875" style="138" customWidth="1"/>
    <col min="16157" max="16157" width="1.6640625" style="138" customWidth="1"/>
    <col min="16158" max="16158" width="3.88671875" style="138" customWidth="1"/>
    <col min="16159" max="16159" width="0.6640625" style="138" customWidth="1"/>
    <col min="16160" max="16160" width="4.5546875" style="138" customWidth="1"/>
    <col min="16161" max="16161" width="0.33203125" style="138" customWidth="1"/>
    <col min="16162" max="16162" width="4.21875" style="138" customWidth="1"/>
    <col min="16163" max="16163" width="1.33203125" style="138" customWidth="1"/>
    <col min="16164" max="16164" width="3.21875" style="138" customWidth="1"/>
    <col min="16165" max="16165" width="2.33203125" style="138" customWidth="1"/>
    <col min="16166" max="16166" width="2.21875" style="138" customWidth="1"/>
    <col min="16167" max="16167" width="3.33203125" style="138" customWidth="1"/>
    <col min="16168" max="16168" width="1.21875" style="138" customWidth="1"/>
    <col min="16169" max="16169" width="4.33203125" style="138" customWidth="1"/>
    <col min="16170" max="16170" width="0.21875" style="138" customWidth="1"/>
    <col min="16171" max="16171" width="4.5546875" style="138" customWidth="1"/>
    <col min="16172" max="16172" width="0.77734375" style="138" customWidth="1"/>
    <col min="16173" max="16174" width="11.109375" style="138" customWidth="1"/>
    <col min="16175" max="16175" width="0.21875" style="138" customWidth="1"/>
    <col min="16176" max="16176" width="10.88671875" style="138" customWidth="1"/>
    <col min="16177" max="16196" width="11.109375" style="138" customWidth="1"/>
    <col min="16197" max="16384" width="8.88671875" style="138"/>
  </cols>
  <sheetData>
    <row r="1" spans="1:68" ht="18.2" customHeight="1">
      <c r="A1" s="274" t="s">
        <v>271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</row>
    <row r="2" spans="1:68" ht="18.2" customHeight="1">
      <c r="A2" s="275" t="s">
        <v>521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</row>
    <row r="3" spans="1:68" ht="18.2" customHeight="1">
      <c r="A3" s="275" t="s">
        <v>272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</row>
    <row r="4" spans="1:68" ht="18.2" customHeight="1">
      <c r="A4" s="275" t="s">
        <v>522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</row>
    <row r="5" spans="1:68" ht="18.2" customHeight="1">
      <c r="A5" s="276"/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</row>
    <row r="6" spans="1:68" ht="14.45" customHeight="1">
      <c r="A6" s="273" t="s">
        <v>438</v>
      </c>
      <c r="B6" s="273"/>
      <c r="C6" s="273"/>
      <c r="D6" s="273"/>
      <c r="E6" s="273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</row>
    <row r="7" spans="1:68" ht="2.25" customHeight="1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</row>
    <row r="8" spans="1:68" ht="14.45" customHeight="1">
      <c r="A8" s="141" t="s">
        <v>439</v>
      </c>
      <c r="B8" s="273" t="s">
        <v>440</v>
      </c>
      <c r="C8" s="273"/>
      <c r="D8" s="273" t="s">
        <v>441</v>
      </c>
      <c r="E8" s="273"/>
      <c r="F8" s="273"/>
      <c r="G8" s="273" t="s">
        <v>442</v>
      </c>
      <c r="H8" s="273"/>
      <c r="I8" s="273" t="s">
        <v>443</v>
      </c>
      <c r="J8" s="273"/>
      <c r="K8" s="141" t="s">
        <v>444</v>
      </c>
      <c r="L8" s="273" t="s">
        <v>445</v>
      </c>
      <c r="M8" s="273"/>
      <c r="N8" s="273" t="s">
        <v>446</v>
      </c>
      <c r="O8" s="273"/>
      <c r="P8" s="273" t="s">
        <v>447</v>
      </c>
      <c r="Q8" s="273"/>
      <c r="R8" s="273" t="s">
        <v>448</v>
      </c>
      <c r="S8" s="273"/>
      <c r="T8" s="273" t="s">
        <v>449</v>
      </c>
      <c r="U8" s="273"/>
      <c r="V8" s="273" t="s">
        <v>450</v>
      </c>
      <c r="W8" s="273"/>
      <c r="X8" s="273" t="s">
        <v>451</v>
      </c>
      <c r="Y8" s="273"/>
      <c r="Z8" s="273" t="s">
        <v>452</v>
      </c>
      <c r="AA8" s="273"/>
      <c r="AB8" s="273" t="s">
        <v>453</v>
      </c>
      <c r="AC8" s="273"/>
      <c r="AD8" s="273" t="s">
        <v>454</v>
      </c>
      <c r="AE8" s="273"/>
      <c r="AF8" s="141" t="s">
        <v>455</v>
      </c>
      <c r="AG8" s="273" t="s">
        <v>456</v>
      </c>
      <c r="AH8" s="273"/>
      <c r="AI8" s="273" t="s">
        <v>457</v>
      </c>
      <c r="AJ8" s="273"/>
      <c r="AK8" s="273" t="s">
        <v>458</v>
      </c>
      <c r="AL8" s="273"/>
      <c r="AM8" s="273" t="s">
        <v>459</v>
      </c>
      <c r="AN8" s="273"/>
      <c r="AO8" s="273" t="s">
        <v>460</v>
      </c>
      <c r="AP8" s="273"/>
      <c r="AQ8" s="141" t="s">
        <v>461</v>
      </c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</row>
    <row r="9" spans="1:68" ht="14.45" customHeight="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270" t="s">
        <v>79</v>
      </c>
      <c r="AT9" s="270"/>
      <c r="AU9" s="270"/>
      <c r="AV9" s="270"/>
      <c r="AW9" s="270"/>
      <c r="AX9" s="270"/>
      <c r="AY9" s="270"/>
      <c r="AZ9" s="270"/>
      <c r="BA9" s="270"/>
      <c r="BB9" s="270"/>
      <c r="BC9" s="270"/>
      <c r="BD9" s="270"/>
      <c r="BE9" s="270"/>
      <c r="BF9" s="270"/>
      <c r="BG9" s="270"/>
      <c r="BH9" s="270"/>
      <c r="BI9" s="270"/>
      <c r="BJ9" s="270"/>
      <c r="BK9" s="270"/>
      <c r="BL9" s="270"/>
      <c r="BM9" s="270"/>
      <c r="BN9" s="270"/>
      <c r="BO9" s="270"/>
      <c r="BP9" s="270"/>
    </row>
    <row r="10" spans="1:68" ht="52.5" customHeight="1">
      <c r="A10" s="273" t="s">
        <v>80</v>
      </c>
      <c r="B10" s="273"/>
      <c r="C10" s="273" t="s">
        <v>81</v>
      </c>
      <c r="D10" s="273"/>
      <c r="E10" s="273" t="s">
        <v>82</v>
      </c>
      <c r="F10" s="273"/>
      <c r="G10" s="273"/>
      <c r="H10" s="273" t="s">
        <v>83</v>
      </c>
      <c r="I10" s="273"/>
      <c r="J10" s="273" t="s">
        <v>84</v>
      </c>
      <c r="K10" s="273"/>
      <c r="L10" s="273"/>
      <c r="M10" s="273" t="s">
        <v>85</v>
      </c>
      <c r="N10" s="273"/>
      <c r="O10" s="273" t="s">
        <v>86</v>
      </c>
      <c r="P10" s="273"/>
      <c r="Q10" s="273" t="s">
        <v>304</v>
      </c>
      <c r="R10" s="273"/>
      <c r="S10" s="273" t="s">
        <v>382</v>
      </c>
      <c r="T10" s="273"/>
      <c r="U10" s="273" t="s">
        <v>305</v>
      </c>
      <c r="V10" s="273"/>
      <c r="W10" s="273"/>
      <c r="X10" s="273"/>
      <c r="Y10" s="273" t="s">
        <v>143</v>
      </c>
      <c r="Z10" s="273"/>
      <c r="AA10" s="273" t="s">
        <v>306</v>
      </c>
      <c r="AB10" s="273"/>
      <c r="AC10" s="273" t="s">
        <v>307</v>
      </c>
      <c r="AD10" s="273"/>
      <c r="AE10" s="273" t="s">
        <v>308</v>
      </c>
      <c r="AF10" s="273"/>
      <c r="AG10" s="273"/>
      <c r="AH10" s="273" t="s">
        <v>309</v>
      </c>
      <c r="AI10" s="273"/>
      <c r="AJ10" s="273" t="s">
        <v>310</v>
      </c>
      <c r="AK10" s="273"/>
      <c r="AL10" s="273" t="s">
        <v>311</v>
      </c>
      <c r="AM10" s="273"/>
      <c r="AN10" s="273" t="s">
        <v>312</v>
      </c>
      <c r="AO10" s="273"/>
      <c r="AP10" s="273" t="s">
        <v>313</v>
      </c>
      <c r="AQ10" s="273"/>
      <c r="AR10" s="273"/>
      <c r="AS10" s="140" t="s">
        <v>439</v>
      </c>
      <c r="AT10" s="140" t="s">
        <v>440</v>
      </c>
      <c r="AU10" s="270" t="s">
        <v>441</v>
      </c>
      <c r="AV10" s="270"/>
      <c r="AW10" s="140" t="s">
        <v>442</v>
      </c>
      <c r="AX10" s="140" t="s">
        <v>443</v>
      </c>
      <c r="AY10" s="140" t="s">
        <v>444</v>
      </c>
      <c r="AZ10" s="140" t="s">
        <v>445</v>
      </c>
      <c r="BA10" s="140" t="s">
        <v>446</v>
      </c>
      <c r="BB10" s="140" t="s">
        <v>447</v>
      </c>
      <c r="BC10" s="140" t="s">
        <v>448</v>
      </c>
      <c r="BD10" s="140" t="s">
        <v>449</v>
      </c>
      <c r="BE10" s="140" t="s">
        <v>450</v>
      </c>
      <c r="BF10" s="140" t="s">
        <v>451</v>
      </c>
      <c r="BG10" s="140" t="s">
        <v>452</v>
      </c>
      <c r="BH10" s="140" t="s">
        <v>453</v>
      </c>
      <c r="BI10" s="140" t="s">
        <v>454</v>
      </c>
      <c r="BJ10" s="140" t="s">
        <v>455</v>
      </c>
      <c r="BK10" s="140" t="s">
        <v>456</v>
      </c>
      <c r="BL10" s="140" t="s">
        <v>457</v>
      </c>
      <c r="BM10" s="140" t="s">
        <v>458</v>
      </c>
      <c r="BN10" s="140" t="s">
        <v>459</v>
      </c>
      <c r="BO10" s="140" t="s">
        <v>460</v>
      </c>
      <c r="BP10" s="140" t="s">
        <v>461</v>
      </c>
    </row>
    <row r="11" spans="1:68" ht="26.25" customHeight="1">
      <c r="A11" s="270" t="s">
        <v>87</v>
      </c>
      <c r="B11" s="270"/>
      <c r="C11" s="270" t="s">
        <v>88</v>
      </c>
      <c r="D11" s="270"/>
      <c r="E11" s="270" t="s">
        <v>89</v>
      </c>
      <c r="F11" s="270"/>
      <c r="G11" s="270"/>
      <c r="H11" s="270" t="s">
        <v>90</v>
      </c>
      <c r="I11" s="270"/>
      <c r="J11" s="270" t="s">
        <v>91</v>
      </c>
      <c r="K11" s="270"/>
      <c r="L11" s="270"/>
      <c r="M11" s="270" t="s">
        <v>92</v>
      </c>
      <c r="N11" s="270"/>
      <c r="O11" s="270" t="s">
        <v>518</v>
      </c>
      <c r="P11" s="270"/>
      <c r="Q11" s="270" t="s">
        <v>196</v>
      </c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139">
        <v>8</v>
      </c>
      <c r="AT11" s="139">
        <v>200</v>
      </c>
      <c r="AU11" s="271">
        <v>49.6</v>
      </c>
      <c r="AV11" s="271"/>
      <c r="AW11" s="139">
        <v>112480</v>
      </c>
      <c r="AX11" s="139">
        <v>4323538.8</v>
      </c>
      <c r="AY11" s="139">
        <v>4323538.8</v>
      </c>
      <c r="AZ11" s="139">
        <v>0</v>
      </c>
      <c r="BA11" s="139">
        <v>0</v>
      </c>
      <c r="BB11" s="139">
        <v>0</v>
      </c>
      <c r="BC11" s="139">
        <v>1087456.1299999999</v>
      </c>
      <c r="BD11" s="139">
        <v>5410994.9299999997</v>
      </c>
      <c r="BE11" s="139">
        <v>0</v>
      </c>
      <c r="BF11" s="139">
        <v>0</v>
      </c>
      <c r="BG11" s="139">
        <v>459911.19</v>
      </c>
      <c r="BH11" s="139">
        <v>3470.4</v>
      </c>
      <c r="BI11" s="139">
        <v>465.3</v>
      </c>
      <c r="BJ11" s="139">
        <v>0</v>
      </c>
      <c r="BK11" s="139">
        <v>37542.239999999998</v>
      </c>
      <c r="BL11" s="139">
        <v>5218.88</v>
      </c>
      <c r="BM11" s="139">
        <v>478644.86</v>
      </c>
      <c r="BN11" s="139">
        <v>4653</v>
      </c>
      <c r="BO11" s="139">
        <v>258.5</v>
      </c>
      <c r="BP11" s="139">
        <v>258.5</v>
      </c>
    </row>
    <row r="12" spans="1:68" ht="14.45" customHeight="1">
      <c r="A12" s="270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 t="s">
        <v>523</v>
      </c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70"/>
      <c r="AM12" s="270"/>
      <c r="AN12" s="270"/>
      <c r="AO12" s="270"/>
      <c r="AP12" s="270"/>
      <c r="AQ12" s="270"/>
      <c r="AR12" s="270"/>
      <c r="AS12" s="139">
        <v>8</v>
      </c>
      <c r="AT12" s="139">
        <v>200</v>
      </c>
      <c r="AU12" s="271">
        <v>49.6</v>
      </c>
      <c r="AV12" s="271"/>
      <c r="AW12" s="139">
        <v>112480</v>
      </c>
      <c r="AX12" s="139">
        <v>4323538.8</v>
      </c>
      <c r="AY12" s="139">
        <v>4323538.8</v>
      </c>
      <c r="AZ12" s="139">
        <v>0</v>
      </c>
      <c r="BA12" s="139">
        <v>0</v>
      </c>
      <c r="BB12" s="139">
        <v>0</v>
      </c>
      <c r="BC12" s="139">
        <v>1087456.1299999999</v>
      </c>
      <c r="BD12" s="139">
        <v>5410994.9299999997</v>
      </c>
      <c r="BE12" s="139">
        <v>0</v>
      </c>
      <c r="BF12" s="139">
        <v>0</v>
      </c>
      <c r="BG12" s="139">
        <v>459911.19</v>
      </c>
      <c r="BH12" s="139">
        <v>3470.4</v>
      </c>
      <c r="BI12" s="139">
        <v>465.3</v>
      </c>
      <c r="BJ12" s="139">
        <v>0</v>
      </c>
      <c r="BK12" s="139">
        <v>37542.239999999998</v>
      </c>
      <c r="BL12" s="139">
        <v>5218.88</v>
      </c>
      <c r="BM12" s="139">
        <v>478644.86</v>
      </c>
      <c r="BN12" s="139">
        <v>4653</v>
      </c>
      <c r="BO12" s="139">
        <v>258.5</v>
      </c>
      <c r="BP12" s="139">
        <v>258.5</v>
      </c>
    </row>
    <row r="13" spans="1:68" ht="14.45" customHeight="1">
      <c r="A13" s="270"/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 t="s">
        <v>517</v>
      </c>
      <c r="P13" s="270"/>
      <c r="Q13" s="270" t="s">
        <v>206</v>
      </c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0"/>
      <c r="AP13" s="270"/>
      <c r="AQ13" s="270"/>
      <c r="AR13" s="270"/>
      <c r="AS13" s="139">
        <v>41</v>
      </c>
      <c r="AT13" s="139">
        <v>909</v>
      </c>
      <c r="AU13" s="271">
        <v>171.14</v>
      </c>
      <c r="AV13" s="271"/>
      <c r="AW13" s="139">
        <v>559901</v>
      </c>
      <c r="AX13" s="139">
        <v>15752007</v>
      </c>
      <c r="AY13" s="139">
        <v>14565515</v>
      </c>
      <c r="AZ13" s="139">
        <v>1186492</v>
      </c>
      <c r="BA13" s="139">
        <v>0</v>
      </c>
      <c r="BB13" s="139">
        <v>0</v>
      </c>
      <c r="BC13" s="139">
        <v>3540690.05</v>
      </c>
      <c r="BD13" s="139">
        <v>19292697.050000001</v>
      </c>
      <c r="BE13" s="139">
        <v>562376.51</v>
      </c>
      <c r="BF13" s="139">
        <v>117715.5</v>
      </c>
      <c r="BG13" s="139">
        <v>937177.52</v>
      </c>
      <c r="BH13" s="139">
        <v>21816</v>
      </c>
      <c r="BI13" s="139">
        <v>4201.2</v>
      </c>
      <c r="BJ13" s="139">
        <v>0</v>
      </c>
      <c r="BK13" s="139">
        <v>105821.35</v>
      </c>
      <c r="BL13" s="139">
        <v>41213.699999999997</v>
      </c>
      <c r="BM13" s="139">
        <v>1708356.27</v>
      </c>
      <c r="BN13" s="139">
        <v>42012</v>
      </c>
      <c r="BO13" s="139">
        <v>2334</v>
      </c>
      <c r="BP13" s="139">
        <v>2334</v>
      </c>
    </row>
    <row r="14" spans="1:68" ht="14.45" customHeight="1">
      <c r="A14" s="270"/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 t="s">
        <v>524</v>
      </c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0"/>
      <c r="AP14" s="270"/>
      <c r="AQ14" s="270"/>
      <c r="AR14" s="270"/>
      <c r="AS14" s="139">
        <v>41</v>
      </c>
      <c r="AT14" s="139">
        <v>909</v>
      </c>
      <c r="AU14" s="271">
        <v>171.14</v>
      </c>
      <c r="AV14" s="271"/>
      <c r="AW14" s="139">
        <v>559901</v>
      </c>
      <c r="AX14" s="139">
        <v>15752007</v>
      </c>
      <c r="AY14" s="139">
        <v>14565515</v>
      </c>
      <c r="AZ14" s="139">
        <v>1186492</v>
      </c>
      <c r="BA14" s="139">
        <v>0</v>
      </c>
      <c r="BB14" s="139">
        <v>0</v>
      </c>
      <c r="BC14" s="139">
        <v>3540690.05</v>
      </c>
      <c r="BD14" s="139">
        <v>19292697.050000001</v>
      </c>
      <c r="BE14" s="139">
        <v>562376.51</v>
      </c>
      <c r="BF14" s="139">
        <v>117715.5</v>
      </c>
      <c r="BG14" s="139">
        <v>937177.52</v>
      </c>
      <c r="BH14" s="139">
        <v>21816</v>
      </c>
      <c r="BI14" s="139">
        <v>4201.2</v>
      </c>
      <c r="BJ14" s="139">
        <v>0</v>
      </c>
      <c r="BK14" s="139">
        <v>105821.35</v>
      </c>
      <c r="BL14" s="139">
        <v>41213.699999999997</v>
      </c>
      <c r="BM14" s="139">
        <v>1708356.27</v>
      </c>
      <c r="BN14" s="139">
        <v>42012</v>
      </c>
      <c r="BO14" s="139">
        <v>2334</v>
      </c>
      <c r="BP14" s="139">
        <v>2334</v>
      </c>
    </row>
    <row r="15" spans="1:68" ht="14.45" customHeight="1">
      <c r="A15" s="270"/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 t="s">
        <v>314</v>
      </c>
      <c r="P15" s="270"/>
      <c r="Q15" s="270" t="s">
        <v>187</v>
      </c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0"/>
      <c r="AO15" s="270"/>
      <c r="AP15" s="270"/>
      <c r="AQ15" s="270"/>
      <c r="AR15" s="270"/>
      <c r="AS15" s="139">
        <v>73</v>
      </c>
      <c r="AT15" s="139">
        <v>919</v>
      </c>
      <c r="AU15" s="271">
        <v>222.5</v>
      </c>
      <c r="AV15" s="271"/>
      <c r="AW15" s="139">
        <v>987525</v>
      </c>
      <c r="AX15" s="139">
        <v>22591491</v>
      </c>
      <c r="AY15" s="139">
        <v>21077745</v>
      </c>
      <c r="AZ15" s="139">
        <v>1513746</v>
      </c>
      <c r="BA15" s="139">
        <v>0</v>
      </c>
      <c r="BB15" s="139">
        <v>0</v>
      </c>
      <c r="BC15" s="139">
        <v>4866238.57</v>
      </c>
      <c r="BD15" s="139">
        <v>27457729.57</v>
      </c>
      <c r="BE15" s="139">
        <v>660143.22</v>
      </c>
      <c r="BF15" s="139">
        <v>58857.75</v>
      </c>
      <c r="BG15" s="139">
        <v>1883032.61</v>
      </c>
      <c r="BH15" s="139">
        <v>35697.599999999999</v>
      </c>
      <c r="BI15" s="139">
        <v>8955</v>
      </c>
      <c r="BJ15" s="139">
        <v>0</v>
      </c>
      <c r="BK15" s="139">
        <v>154347.49</v>
      </c>
      <c r="BL15" s="139">
        <v>0</v>
      </c>
      <c r="BM15" s="139">
        <v>1975654.9</v>
      </c>
      <c r="BN15" s="139">
        <v>89550</v>
      </c>
      <c r="BO15" s="139">
        <v>4975</v>
      </c>
      <c r="BP15" s="139">
        <v>4975</v>
      </c>
    </row>
    <row r="16" spans="1:68" ht="14.45" customHeight="1">
      <c r="A16" s="270"/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 t="s">
        <v>386</v>
      </c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0"/>
      <c r="AP16" s="270"/>
      <c r="AQ16" s="270"/>
      <c r="AR16" s="270"/>
      <c r="AS16" s="139">
        <v>73</v>
      </c>
      <c r="AT16" s="139">
        <v>919</v>
      </c>
      <c r="AU16" s="271">
        <v>222.5</v>
      </c>
      <c r="AV16" s="271"/>
      <c r="AW16" s="139">
        <v>987525</v>
      </c>
      <c r="AX16" s="139">
        <v>22591491</v>
      </c>
      <c r="AY16" s="139">
        <v>21077745</v>
      </c>
      <c r="AZ16" s="139">
        <v>1513746</v>
      </c>
      <c r="BA16" s="139">
        <v>0</v>
      </c>
      <c r="BB16" s="139">
        <v>0</v>
      </c>
      <c r="BC16" s="139">
        <v>4866238.57</v>
      </c>
      <c r="BD16" s="139">
        <v>27457729.57</v>
      </c>
      <c r="BE16" s="139">
        <v>660143.22</v>
      </c>
      <c r="BF16" s="139">
        <v>58857.75</v>
      </c>
      <c r="BG16" s="139">
        <v>1883032.61</v>
      </c>
      <c r="BH16" s="139">
        <v>35697.599999999999</v>
      </c>
      <c r="BI16" s="139">
        <v>8955</v>
      </c>
      <c r="BJ16" s="139">
        <v>0</v>
      </c>
      <c r="BK16" s="139">
        <v>154347.49</v>
      </c>
      <c r="BL16" s="139">
        <v>0</v>
      </c>
      <c r="BM16" s="139">
        <v>1975654.9</v>
      </c>
      <c r="BN16" s="139">
        <v>89550</v>
      </c>
      <c r="BO16" s="139">
        <v>4975</v>
      </c>
      <c r="BP16" s="139">
        <v>4975</v>
      </c>
    </row>
    <row r="17" spans="1:68" ht="14.45" customHeight="1">
      <c r="A17" s="270"/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 t="s">
        <v>315</v>
      </c>
      <c r="P17" s="270"/>
      <c r="Q17" s="272" t="s">
        <v>222</v>
      </c>
      <c r="R17" s="272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2"/>
      <c r="AN17" s="272"/>
      <c r="AO17" s="272"/>
      <c r="AP17" s="272"/>
      <c r="AQ17" s="272"/>
      <c r="AR17" s="272"/>
      <c r="AS17" s="139">
        <v>4</v>
      </c>
      <c r="AT17" s="139">
        <v>10</v>
      </c>
      <c r="AU17" s="271">
        <v>2.5</v>
      </c>
      <c r="AV17" s="271"/>
      <c r="AW17" s="139">
        <v>420392</v>
      </c>
      <c r="AX17" s="139">
        <v>840784</v>
      </c>
      <c r="AY17" s="139">
        <v>840784</v>
      </c>
      <c r="AZ17" s="139">
        <v>0</v>
      </c>
      <c r="BA17" s="139">
        <v>0</v>
      </c>
      <c r="BB17" s="139">
        <v>0</v>
      </c>
      <c r="BC17" s="139">
        <v>142503.48000000001</v>
      </c>
      <c r="BD17" s="139">
        <v>983287.48</v>
      </c>
      <c r="BE17" s="139">
        <v>0</v>
      </c>
      <c r="BF17" s="139">
        <v>0</v>
      </c>
      <c r="BG17" s="139">
        <v>130163.54</v>
      </c>
      <c r="BH17" s="139">
        <v>3470.4</v>
      </c>
      <c r="BI17" s="139">
        <v>333</v>
      </c>
      <c r="BJ17" s="139">
        <v>0</v>
      </c>
      <c r="BK17" s="139">
        <v>5206.54</v>
      </c>
      <c r="BL17" s="139">
        <v>0</v>
      </c>
      <c r="BM17" s="139">
        <v>0</v>
      </c>
      <c r="BN17" s="139">
        <v>3330</v>
      </c>
      <c r="BO17" s="139">
        <v>185</v>
      </c>
      <c r="BP17" s="139">
        <v>185</v>
      </c>
    </row>
    <row r="18" spans="1:68" ht="14.45" customHeight="1">
      <c r="A18" s="270"/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 t="s">
        <v>222</v>
      </c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/>
      <c r="AJ18" s="270"/>
      <c r="AK18" s="270"/>
      <c r="AL18" s="270"/>
      <c r="AM18" s="270"/>
      <c r="AN18" s="270"/>
      <c r="AO18" s="270"/>
      <c r="AP18" s="270"/>
      <c r="AQ18" s="270"/>
      <c r="AR18" s="270"/>
      <c r="AS18" s="139">
        <v>28</v>
      </c>
      <c r="AT18" s="139">
        <v>168</v>
      </c>
      <c r="AU18" s="271">
        <v>60.57</v>
      </c>
      <c r="AV18" s="271"/>
      <c r="AW18" s="139">
        <v>1482805</v>
      </c>
      <c r="AX18" s="139">
        <v>7480510.5</v>
      </c>
      <c r="AY18" s="139">
        <v>5637360</v>
      </c>
      <c r="AZ18" s="139">
        <v>1843150.5</v>
      </c>
      <c r="BA18" s="139">
        <v>0</v>
      </c>
      <c r="BB18" s="139">
        <v>0</v>
      </c>
      <c r="BC18" s="139">
        <v>3199988.73</v>
      </c>
      <c r="BD18" s="139">
        <v>10680499.23</v>
      </c>
      <c r="BE18" s="139">
        <v>269857.57</v>
      </c>
      <c r="BF18" s="139">
        <v>29428.880000000001</v>
      </c>
      <c r="BG18" s="139">
        <v>807013.96</v>
      </c>
      <c r="BH18" s="139">
        <v>28756.799999999999</v>
      </c>
      <c r="BI18" s="139">
        <v>6145.2</v>
      </c>
      <c r="BJ18" s="139">
        <v>0</v>
      </c>
      <c r="BK18" s="139">
        <v>107859.55</v>
      </c>
      <c r="BL18" s="139">
        <v>0</v>
      </c>
      <c r="BM18" s="139">
        <v>1889474.77</v>
      </c>
      <c r="BN18" s="139">
        <v>61452</v>
      </c>
      <c r="BO18" s="139">
        <v>3414</v>
      </c>
      <c r="BP18" s="139">
        <v>3414</v>
      </c>
    </row>
    <row r="19" spans="1:68" ht="14.45" customHeight="1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 t="s">
        <v>390</v>
      </c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139">
        <v>32</v>
      </c>
      <c r="AT19" s="139">
        <v>178</v>
      </c>
      <c r="AU19" s="271">
        <v>63.07</v>
      </c>
      <c r="AV19" s="271"/>
      <c r="AW19" s="139">
        <v>1903197</v>
      </c>
      <c r="AX19" s="139">
        <v>8321294.5</v>
      </c>
      <c r="AY19" s="139">
        <v>6478144</v>
      </c>
      <c r="AZ19" s="139">
        <v>1843150.5</v>
      </c>
      <c r="BA19" s="139">
        <v>0</v>
      </c>
      <c r="BB19" s="139">
        <v>0</v>
      </c>
      <c r="BC19" s="139">
        <v>3342492.21</v>
      </c>
      <c r="BD19" s="139">
        <v>11663786.710000001</v>
      </c>
      <c r="BE19" s="139">
        <v>269857.57</v>
      </c>
      <c r="BF19" s="139">
        <v>29428.880000000001</v>
      </c>
      <c r="BG19" s="139">
        <v>937177.5</v>
      </c>
      <c r="BH19" s="139">
        <v>32227.200000000001</v>
      </c>
      <c r="BI19" s="139">
        <v>6478.2</v>
      </c>
      <c r="BJ19" s="139">
        <v>0</v>
      </c>
      <c r="BK19" s="139">
        <v>113066.09</v>
      </c>
      <c r="BL19" s="139">
        <v>0</v>
      </c>
      <c r="BM19" s="139">
        <v>1889474.77</v>
      </c>
      <c r="BN19" s="139">
        <v>64782</v>
      </c>
      <c r="BO19" s="139">
        <v>3599</v>
      </c>
      <c r="BP19" s="139">
        <v>3599</v>
      </c>
    </row>
    <row r="20" spans="1:68" ht="14.45" customHeight="1">
      <c r="A20" s="270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 t="s">
        <v>316</v>
      </c>
      <c r="P20" s="270"/>
      <c r="Q20" s="270" t="s">
        <v>246</v>
      </c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139">
        <v>26</v>
      </c>
      <c r="AT20" s="139">
        <v>113</v>
      </c>
      <c r="AU20" s="271">
        <v>32.950000000000003</v>
      </c>
      <c r="AV20" s="271"/>
      <c r="AW20" s="139">
        <v>2264798</v>
      </c>
      <c r="AX20" s="139">
        <v>6539779</v>
      </c>
      <c r="AY20" s="139">
        <v>6539779</v>
      </c>
      <c r="AZ20" s="139">
        <v>0</v>
      </c>
      <c r="BA20" s="139">
        <v>0</v>
      </c>
      <c r="BB20" s="139">
        <v>0</v>
      </c>
      <c r="BC20" s="139">
        <v>1752427.16</v>
      </c>
      <c r="BD20" s="139">
        <v>8292206.1600000001</v>
      </c>
      <c r="BE20" s="139">
        <v>243603</v>
      </c>
      <c r="BF20" s="139">
        <v>0</v>
      </c>
      <c r="BG20" s="139">
        <v>503299.03</v>
      </c>
      <c r="BH20" s="139">
        <v>6940.8</v>
      </c>
      <c r="BI20" s="139">
        <v>3990.6</v>
      </c>
      <c r="BJ20" s="139">
        <v>0</v>
      </c>
      <c r="BK20" s="139">
        <v>56076.41</v>
      </c>
      <c r="BL20" s="139">
        <v>0</v>
      </c>
      <c r="BM20" s="139">
        <v>898611.32</v>
      </c>
      <c r="BN20" s="139">
        <v>39906</v>
      </c>
      <c r="BO20" s="139">
        <v>2217</v>
      </c>
      <c r="BP20" s="139">
        <v>2217</v>
      </c>
    </row>
    <row r="21" spans="1:68" ht="14.45" customHeight="1">
      <c r="A21" s="270"/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 t="s">
        <v>398</v>
      </c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0"/>
      <c r="AP21" s="270"/>
      <c r="AQ21" s="270"/>
      <c r="AR21" s="270"/>
      <c r="AS21" s="139">
        <v>26</v>
      </c>
      <c r="AT21" s="139">
        <v>113</v>
      </c>
      <c r="AU21" s="271">
        <v>32.950000000000003</v>
      </c>
      <c r="AV21" s="271"/>
      <c r="AW21" s="139">
        <v>2264798</v>
      </c>
      <c r="AX21" s="139">
        <v>6539779</v>
      </c>
      <c r="AY21" s="139">
        <v>6539779</v>
      </c>
      <c r="AZ21" s="139">
        <v>0</v>
      </c>
      <c r="BA21" s="139">
        <v>0</v>
      </c>
      <c r="BB21" s="139">
        <v>0</v>
      </c>
      <c r="BC21" s="139">
        <v>1752427.16</v>
      </c>
      <c r="BD21" s="139">
        <v>8292206.1600000001</v>
      </c>
      <c r="BE21" s="139">
        <v>243603</v>
      </c>
      <c r="BF21" s="139">
        <v>0</v>
      </c>
      <c r="BG21" s="139">
        <v>503299.03</v>
      </c>
      <c r="BH21" s="139">
        <v>6940.8</v>
      </c>
      <c r="BI21" s="139">
        <v>3990.6</v>
      </c>
      <c r="BJ21" s="139">
        <v>0</v>
      </c>
      <c r="BK21" s="139">
        <v>56076.41</v>
      </c>
      <c r="BL21" s="139">
        <v>0</v>
      </c>
      <c r="BM21" s="139">
        <v>898611.32</v>
      </c>
      <c r="BN21" s="139">
        <v>39906</v>
      </c>
      <c r="BO21" s="139">
        <v>2217</v>
      </c>
      <c r="BP21" s="139">
        <v>2217</v>
      </c>
    </row>
    <row r="22" spans="1:68" ht="14.45" customHeight="1">
      <c r="A22" s="270"/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 t="s">
        <v>317</v>
      </c>
      <c r="P22" s="270"/>
      <c r="Q22" s="270" t="s">
        <v>181</v>
      </c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139">
        <v>23</v>
      </c>
      <c r="AT22" s="139">
        <v>148</v>
      </c>
      <c r="AU22" s="271">
        <v>50.6</v>
      </c>
      <c r="AV22" s="271"/>
      <c r="AW22" s="139">
        <v>160248</v>
      </c>
      <c r="AX22" s="139">
        <v>5463793</v>
      </c>
      <c r="AY22" s="139">
        <v>3435532</v>
      </c>
      <c r="AZ22" s="139">
        <v>2028261</v>
      </c>
      <c r="BA22" s="139">
        <v>0</v>
      </c>
      <c r="BB22" s="139">
        <v>0</v>
      </c>
      <c r="BC22" s="139">
        <v>1926684.03</v>
      </c>
      <c r="BD22" s="139">
        <v>7390477.0300000003</v>
      </c>
      <c r="BE22" s="139">
        <v>202632.03</v>
      </c>
      <c r="BF22" s="139">
        <v>29428.880000000001</v>
      </c>
      <c r="BG22" s="139">
        <v>546686.88</v>
      </c>
      <c r="BH22" s="139">
        <v>21816</v>
      </c>
      <c r="BI22" s="139">
        <v>3087</v>
      </c>
      <c r="BJ22" s="139">
        <v>0</v>
      </c>
      <c r="BK22" s="139">
        <v>63032.7</v>
      </c>
      <c r="BL22" s="139">
        <v>0</v>
      </c>
      <c r="BM22" s="139">
        <v>1029130.54</v>
      </c>
      <c r="BN22" s="139">
        <v>30870</v>
      </c>
      <c r="BO22" s="139">
        <v>1971</v>
      </c>
      <c r="BP22" s="139">
        <v>1971</v>
      </c>
    </row>
    <row r="23" spans="1:68" ht="14.45" customHeight="1">
      <c r="A23" s="270"/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 t="s">
        <v>384</v>
      </c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139">
        <v>23</v>
      </c>
      <c r="AT23" s="139">
        <v>148</v>
      </c>
      <c r="AU23" s="271">
        <v>50.6</v>
      </c>
      <c r="AV23" s="271"/>
      <c r="AW23" s="139">
        <v>160248</v>
      </c>
      <c r="AX23" s="139">
        <v>5463793</v>
      </c>
      <c r="AY23" s="139">
        <v>3435532</v>
      </c>
      <c r="AZ23" s="139">
        <v>2028261</v>
      </c>
      <c r="BA23" s="139">
        <v>0</v>
      </c>
      <c r="BB23" s="139">
        <v>0</v>
      </c>
      <c r="BC23" s="139">
        <v>1926684.03</v>
      </c>
      <c r="BD23" s="139">
        <v>7390477.0300000003</v>
      </c>
      <c r="BE23" s="139">
        <v>202632.03</v>
      </c>
      <c r="BF23" s="139">
        <v>29428.880000000001</v>
      </c>
      <c r="BG23" s="139">
        <v>546686.88</v>
      </c>
      <c r="BH23" s="139">
        <v>21816</v>
      </c>
      <c r="BI23" s="139">
        <v>3087</v>
      </c>
      <c r="BJ23" s="139">
        <v>0</v>
      </c>
      <c r="BK23" s="139">
        <v>63032.7</v>
      </c>
      <c r="BL23" s="139">
        <v>0</v>
      </c>
      <c r="BM23" s="139">
        <v>1029130.54</v>
      </c>
      <c r="BN23" s="139">
        <v>30870</v>
      </c>
      <c r="BO23" s="139">
        <v>1971</v>
      </c>
      <c r="BP23" s="139">
        <v>1971</v>
      </c>
    </row>
    <row r="24" spans="1:68" ht="14.45" customHeight="1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 t="s">
        <v>318</v>
      </c>
      <c r="P24" s="270"/>
      <c r="Q24" s="270" t="s">
        <v>184</v>
      </c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139">
        <v>15</v>
      </c>
      <c r="AT24" s="139">
        <v>50</v>
      </c>
      <c r="AU24" s="271">
        <v>11.75</v>
      </c>
      <c r="AV24" s="271"/>
      <c r="AW24" s="139">
        <v>1931237</v>
      </c>
      <c r="AX24" s="139">
        <v>5452265</v>
      </c>
      <c r="AY24" s="139">
        <v>5452265</v>
      </c>
      <c r="AZ24" s="139">
        <v>0</v>
      </c>
      <c r="BA24" s="139">
        <v>0</v>
      </c>
      <c r="BB24" s="139">
        <v>0</v>
      </c>
      <c r="BC24" s="139">
        <v>1907322.68</v>
      </c>
      <c r="BD24" s="139">
        <v>7359587.6799999997</v>
      </c>
      <c r="BE24" s="139">
        <v>235151.98</v>
      </c>
      <c r="BF24" s="139">
        <v>27074.57</v>
      </c>
      <c r="BG24" s="139">
        <v>633462.56999999995</v>
      </c>
      <c r="BH24" s="139">
        <v>13881.6</v>
      </c>
      <c r="BI24" s="139">
        <v>3389.4</v>
      </c>
      <c r="BJ24" s="139">
        <v>0</v>
      </c>
      <c r="BK24" s="139">
        <v>61305.04</v>
      </c>
      <c r="BL24" s="139">
        <v>0</v>
      </c>
      <c r="BM24" s="139">
        <v>899163.52</v>
      </c>
      <c r="BN24" s="139">
        <v>33894</v>
      </c>
      <c r="BO24" s="139">
        <v>1883</v>
      </c>
      <c r="BP24" s="139">
        <v>1883</v>
      </c>
    </row>
    <row r="25" spans="1:68" ht="14.45" customHeight="1">
      <c r="A25" s="270"/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 t="s">
        <v>403</v>
      </c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  <c r="AA25" s="270"/>
      <c r="AB25" s="270"/>
      <c r="AC25" s="270"/>
      <c r="AD25" s="270"/>
      <c r="AE25" s="270"/>
      <c r="AF25" s="270"/>
      <c r="AG25" s="270"/>
      <c r="AH25" s="270"/>
      <c r="AI25" s="270"/>
      <c r="AJ25" s="270"/>
      <c r="AK25" s="270"/>
      <c r="AL25" s="270"/>
      <c r="AM25" s="270"/>
      <c r="AN25" s="270"/>
      <c r="AO25" s="270"/>
      <c r="AP25" s="270"/>
      <c r="AQ25" s="270"/>
      <c r="AR25" s="270"/>
      <c r="AS25" s="139">
        <v>15</v>
      </c>
      <c r="AT25" s="139">
        <v>50</v>
      </c>
      <c r="AU25" s="271">
        <v>11.75</v>
      </c>
      <c r="AV25" s="271"/>
      <c r="AW25" s="139">
        <v>1931237</v>
      </c>
      <c r="AX25" s="139">
        <v>5452265</v>
      </c>
      <c r="AY25" s="139">
        <v>5452265</v>
      </c>
      <c r="AZ25" s="139">
        <v>0</v>
      </c>
      <c r="BA25" s="139">
        <v>0</v>
      </c>
      <c r="BB25" s="139">
        <v>0</v>
      </c>
      <c r="BC25" s="139">
        <v>1907322.68</v>
      </c>
      <c r="BD25" s="139">
        <v>7359587.6799999997</v>
      </c>
      <c r="BE25" s="139">
        <v>235151.98</v>
      </c>
      <c r="BF25" s="139">
        <v>27074.57</v>
      </c>
      <c r="BG25" s="139">
        <v>633462.56999999995</v>
      </c>
      <c r="BH25" s="139">
        <v>13881.6</v>
      </c>
      <c r="BI25" s="139">
        <v>3389.4</v>
      </c>
      <c r="BJ25" s="139">
        <v>0</v>
      </c>
      <c r="BK25" s="139">
        <v>61305.04</v>
      </c>
      <c r="BL25" s="139">
        <v>0</v>
      </c>
      <c r="BM25" s="139">
        <v>899163.52</v>
      </c>
      <c r="BN25" s="139">
        <v>33894</v>
      </c>
      <c r="BO25" s="139">
        <v>1883</v>
      </c>
      <c r="BP25" s="139">
        <v>1883</v>
      </c>
    </row>
    <row r="26" spans="1:68" ht="14.45" customHeight="1">
      <c r="A26" s="270"/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 t="s">
        <v>319</v>
      </c>
      <c r="P26" s="270"/>
      <c r="Q26" s="270" t="s">
        <v>186</v>
      </c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70"/>
      <c r="AP26" s="270"/>
      <c r="AQ26" s="270"/>
      <c r="AR26" s="270"/>
      <c r="AS26" s="139">
        <v>38</v>
      </c>
      <c r="AT26" s="139">
        <v>554</v>
      </c>
      <c r="AU26" s="271">
        <v>113.28</v>
      </c>
      <c r="AV26" s="271"/>
      <c r="AW26" s="139">
        <v>1017198</v>
      </c>
      <c r="AX26" s="139">
        <v>11546718</v>
      </c>
      <c r="AY26" s="139">
        <v>11546718</v>
      </c>
      <c r="AZ26" s="139">
        <v>0</v>
      </c>
      <c r="BA26" s="139">
        <v>0</v>
      </c>
      <c r="BB26" s="139">
        <v>0</v>
      </c>
      <c r="BC26" s="139">
        <v>4019507.87</v>
      </c>
      <c r="BD26" s="139">
        <v>15566225.869999999</v>
      </c>
      <c r="BE26" s="139">
        <v>371099.06</v>
      </c>
      <c r="BF26" s="139">
        <v>58857.75</v>
      </c>
      <c r="BG26" s="139">
        <v>807013.96</v>
      </c>
      <c r="BH26" s="139">
        <v>28756.799999999999</v>
      </c>
      <c r="BI26" s="139">
        <v>8683.92</v>
      </c>
      <c r="BJ26" s="139">
        <v>0</v>
      </c>
      <c r="BK26" s="139">
        <v>132323.32</v>
      </c>
      <c r="BL26" s="139">
        <v>24864.84</v>
      </c>
      <c r="BM26" s="139">
        <v>2501069.02</v>
      </c>
      <c r="BN26" s="139">
        <v>86839.2</v>
      </c>
      <c r="BO26" s="139">
        <v>4824.3999999999996</v>
      </c>
      <c r="BP26" s="139">
        <v>4824.3999999999996</v>
      </c>
    </row>
    <row r="27" spans="1:68" ht="14.45" customHeight="1">
      <c r="A27" s="270"/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 t="s">
        <v>400</v>
      </c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70"/>
      <c r="AA27" s="270"/>
      <c r="AB27" s="270"/>
      <c r="AC27" s="270"/>
      <c r="AD27" s="270"/>
      <c r="AE27" s="270"/>
      <c r="AF27" s="270"/>
      <c r="AG27" s="270"/>
      <c r="AH27" s="270"/>
      <c r="AI27" s="270"/>
      <c r="AJ27" s="270"/>
      <c r="AK27" s="270"/>
      <c r="AL27" s="270"/>
      <c r="AM27" s="270"/>
      <c r="AN27" s="270"/>
      <c r="AO27" s="270"/>
      <c r="AP27" s="270"/>
      <c r="AQ27" s="270"/>
      <c r="AR27" s="270"/>
      <c r="AS27" s="139">
        <v>38</v>
      </c>
      <c r="AT27" s="139">
        <v>554</v>
      </c>
      <c r="AU27" s="271">
        <v>113.28</v>
      </c>
      <c r="AV27" s="271"/>
      <c r="AW27" s="139">
        <v>1017198</v>
      </c>
      <c r="AX27" s="139">
        <v>11546718</v>
      </c>
      <c r="AY27" s="139">
        <v>11546718</v>
      </c>
      <c r="AZ27" s="139">
        <v>0</v>
      </c>
      <c r="BA27" s="139">
        <v>0</v>
      </c>
      <c r="BB27" s="139">
        <v>0</v>
      </c>
      <c r="BC27" s="139">
        <v>4019507.87</v>
      </c>
      <c r="BD27" s="139">
        <v>15566225.869999999</v>
      </c>
      <c r="BE27" s="139">
        <v>371099.06</v>
      </c>
      <c r="BF27" s="139">
        <v>58857.75</v>
      </c>
      <c r="BG27" s="139">
        <v>807013.96</v>
      </c>
      <c r="BH27" s="139">
        <v>28756.799999999999</v>
      </c>
      <c r="BI27" s="139">
        <v>8683.92</v>
      </c>
      <c r="BJ27" s="139">
        <v>0</v>
      </c>
      <c r="BK27" s="139">
        <v>132323.32</v>
      </c>
      <c r="BL27" s="139">
        <v>24864.84</v>
      </c>
      <c r="BM27" s="139">
        <v>2501069.02</v>
      </c>
      <c r="BN27" s="139">
        <v>86839.2</v>
      </c>
      <c r="BO27" s="139">
        <v>4824.3999999999996</v>
      </c>
      <c r="BP27" s="139">
        <v>4824.3999999999996</v>
      </c>
    </row>
    <row r="28" spans="1:68" ht="14.45" customHeight="1">
      <c r="A28" s="270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 t="s">
        <v>320</v>
      </c>
      <c r="P28" s="270"/>
      <c r="Q28" s="270" t="s">
        <v>201</v>
      </c>
      <c r="R28" s="270"/>
      <c r="S28" s="270"/>
      <c r="T28" s="270"/>
      <c r="U28" s="270"/>
      <c r="V28" s="270"/>
      <c r="W28" s="270"/>
      <c r="X28" s="270"/>
      <c r="Y28" s="270"/>
      <c r="Z28" s="270"/>
      <c r="AA28" s="270"/>
      <c r="AB28" s="270"/>
      <c r="AC28" s="270"/>
      <c r="AD28" s="270"/>
      <c r="AE28" s="270"/>
      <c r="AF28" s="270"/>
      <c r="AG28" s="270"/>
      <c r="AH28" s="270"/>
      <c r="AI28" s="270"/>
      <c r="AJ28" s="270"/>
      <c r="AK28" s="270"/>
      <c r="AL28" s="270"/>
      <c r="AM28" s="270"/>
      <c r="AN28" s="270"/>
      <c r="AO28" s="270"/>
      <c r="AP28" s="270"/>
      <c r="AQ28" s="270"/>
      <c r="AR28" s="270"/>
      <c r="AS28" s="139">
        <v>29</v>
      </c>
      <c r="AT28" s="139">
        <v>129</v>
      </c>
      <c r="AU28" s="271">
        <v>34.700000000000003</v>
      </c>
      <c r="AV28" s="271"/>
      <c r="AW28" s="139">
        <v>1005212</v>
      </c>
      <c r="AX28" s="139">
        <v>6649956.5</v>
      </c>
      <c r="AY28" s="139">
        <v>4366006</v>
      </c>
      <c r="AZ28" s="139">
        <v>2283950.5</v>
      </c>
      <c r="BA28" s="139">
        <v>0</v>
      </c>
      <c r="BB28" s="139">
        <v>0</v>
      </c>
      <c r="BC28" s="139">
        <v>2455517.0099999998</v>
      </c>
      <c r="BD28" s="139">
        <v>9105473.5099999998</v>
      </c>
      <c r="BE28" s="139">
        <v>278191.26</v>
      </c>
      <c r="BF28" s="139">
        <v>0</v>
      </c>
      <c r="BG28" s="139">
        <v>807013.96</v>
      </c>
      <c r="BH28" s="139">
        <v>28756.799999999999</v>
      </c>
      <c r="BI28" s="139">
        <v>4030.2</v>
      </c>
      <c r="BJ28" s="139">
        <v>0</v>
      </c>
      <c r="BK28" s="139">
        <v>80932.179999999993</v>
      </c>
      <c r="BL28" s="139">
        <v>0</v>
      </c>
      <c r="BM28" s="139">
        <v>1216290.6100000001</v>
      </c>
      <c r="BN28" s="139">
        <v>40302</v>
      </c>
      <c r="BO28" s="139">
        <v>2239</v>
      </c>
      <c r="BP28" s="139">
        <v>2239</v>
      </c>
    </row>
    <row r="29" spans="1:68" ht="14.45" customHeight="1">
      <c r="A29" s="270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 t="s">
        <v>399</v>
      </c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270"/>
      <c r="AD29" s="270"/>
      <c r="AE29" s="270"/>
      <c r="AF29" s="270"/>
      <c r="AG29" s="270"/>
      <c r="AH29" s="270"/>
      <c r="AI29" s="270"/>
      <c r="AJ29" s="270"/>
      <c r="AK29" s="270"/>
      <c r="AL29" s="270"/>
      <c r="AM29" s="270"/>
      <c r="AN29" s="270"/>
      <c r="AO29" s="270"/>
      <c r="AP29" s="270"/>
      <c r="AQ29" s="270"/>
      <c r="AR29" s="270"/>
      <c r="AS29" s="139">
        <v>29</v>
      </c>
      <c r="AT29" s="139">
        <v>129</v>
      </c>
      <c r="AU29" s="271">
        <v>34.700000000000003</v>
      </c>
      <c r="AV29" s="271"/>
      <c r="AW29" s="139">
        <v>1005212</v>
      </c>
      <c r="AX29" s="139">
        <v>6649956.5</v>
      </c>
      <c r="AY29" s="139">
        <v>4366006</v>
      </c>
      <c r="AZ29" s="139">
        <v>2283950.5</v>
      </c>
      <c r="BA29" s="139">
        <v>0</v>
      </c>
      <c r="BB29" s="139">
        <v>0</v>
      </c>
      <c r="BC29" s="139">
        <v>2455517.0099999998</v>
      </c>
      <c r="BD29" s="139">
        <v>9105473.5099999998</v>
      </c>
      <c r="BE29" s="139">
        <v>278191.26</v>
      </c>
      <c r="BF29" s="139">
        <v>0</v>
      </c>
      <c r="BG29" s="139">
        <v>807013.96</v>
      </c>
      <c r="BH29" s="139">
        <v>28756.799999999999</v>
      </c>
      <c r="BI29" s="139">
        <v>4030.2</v>
      </c>
      <c r="BJ29" s="139">
        <v>0</v>
      </c>
      <c r="BK29" s="139">
        <v>80932.179999999993</v>
      </c>
      <c r="BL29" s="139">
        <v>0</v>
      </c>
      <c r="BM29" s="139">
        <v>1216290.6100000001</v>
      </c>
      <c r="BN29" s="139">
        <v>40302</v>
      </c>
      <c r="BO29" s="139">
        <v>2239</v>
      </c>
      <c r="BP29" s="139">
        <v>2239</v>
      </c>
    </row>
    <row r="30" spans="1:68" ht="14.45" customHeight="1">
      <c r="A30" s="270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 t="s">
        <v>321</v>
      </c>
      <c r="P30" s="270"/>
      <c r="Q30" s="270" t="s">
        <v>216</v>
      </c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270"/>
      <c r="AN30" s="270"/>
      <c r="AO30" s="270"/>
      <c r="AP30" s="270"/>
      <c r="AQ30" s="270"/>
      <c r="AR30" s="270"/>
      <c r="AS30" s="139">
        <v>31</v>
      </c>
      <c r="AT30" s="139">
        <v>147</v>
      </c>
      <c r="AU30" s="271">
        <v>38.880000000000003</v>
      </c>
      <c r="AV30" s="271"/>
      <c r="AW30" s="139">
        <v>1425604</v>
      </c>
      <c r="AX30" s="139">
        <v>7425618</v>
      </c>
      <c r="AY30" s="139">
        <v>5469712</v>
      </c>
      <c r="AZ30" s="139">
        <v>1955906</v>
      </c>
      <c r="BA30" s="139">
        <v>0</v>
      </c>
      <c r="BB30" s="139">
        <v>0</v>
      </c>
      <c r="BC30" s="139">
        <v>2669844.02</v>
      </c>
      <c r="BD30" s="139">
        <v>10095462.02</v>
      </c>
      <c r="BE30" s="139">
        <v>302761.56</v>
      </c>
      <c r="BF30" s="139">
        <v>0</v>
      </c>
      <c r="BG30" s="139">
        <v>937177.5</v>
      </c>
      <c r="BH30" s="139">
        <v>32227.200000000001</v>
      </c>
      <c r="BI30" s="139">
        <v>4383</v>
      </c>
      <c r="BJ30" s="139">
        <v>0</v>
      </c>
      <c r="BK30" s="139">
        <v>87947.77</v>
      </c>
      <c r="BL30" s="139">
        <v>0</v>
      </c>
      <c r="BM30" s="139">
        <v>1261516.99</v>
      </c>
      <c r="BN30" s="139">
        <v>43830</v>
      </c>
      <c r="BO30" s="139">
        <v>2435</v>
      </c>
      <c r="BP30" s="139">
        <v>2435</v>
      </c>
    </row>
    <row r="31" spans="1:68" ht="14.45" customHeight="1">
      <c r="A31" s="270"/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 t="s">
        <v>391</v>
      </c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  <c r="AA31" s="270"/>
      <c r="AB31" s="270"/>
      <c r="AC31" s="270"/>
      <c r="AD31" s="270"/>
      <c r="AE31" s="270"/>
      <c r="AF31" s="270"/>
      <c r="AG31" s="270"/>
      <c r="AH31" s="270"/>
      <c r="AI31" s="270"/>
      <c r="AJ31" s="270"/>
      <c r="AK31" s="270"/>
      <c r="AL31" s="270"/>
      <c r="AM31" s="270"/>
      <c r="AN31" s="270"/>
      <c r="AO31" s="270"/>
      <c r="AP31" s="270"/>
      <c r="AQ31" s="270"/>
      <c r="AR31" s="270"/>
      <c r="AS31" s="139">
        <v>31</v>
      </c>
      <c r="AT31" s="139">
        <v>147</v>
      </c>
      <c r="AU31" s="271">
        <v>38.880000000000003</v>
      </c>
      <c r="AV31" s="271"/>
      <c r="AW31" s="139">
        <v>1425604</v>
      </c>
      <c r="AX31" s="139">
        <v>7425618</v>
      </c>
      <c r="AY31" s="139">
        <v>5469712</v>
      </c>
      <c r="AZ31" s="139">
        <v>1955906</v>
      </c>
      <c r="BA31" s="139">
        <v>0</v>
      </c>
      <c r="BB31" s="139">
        <v>0</v>
      </c>
      <c r="BC31" s="139">
        <v>2669844.02</v>
      </c>
      <c r="BD31" s="139">
        <v>10095462.02</v>
      </c>
      <c r="BE31" s="139">
        <v>302761.56</v>
      </c>
      <c r="BF31" s="139">
        <v>0</v>
      </c>
      <c r="BG31" s="139">
        <v>937177.5</v>
      </c>
      <c r="BH31" s="139">
        <v>32227.200000000001</v>
      </c>
      <c r="BI31" s="139">
        <v>4383</v>
      </c>
      <c r="BJ31" s="139">
        <v>0</v>
      </c>
      <c r="BK31" s="139">
        <v>87947.77</v>
      </c>
      <c r="BL31" s="139">
        <v>0</v>
      </c>
      <c r="BM31" s="139">
        <v>1261516.99</v>
      </c>
      <c r="BN31" s="139">
        <v>43830</v>
      </c>
      <c r="BO31" s="139">
        <v>2435</v>
      </c>
      <c r="BP31" s="139">
        <v>2435</v>
      </c>
    </row>
    <row r="32" spans="1:68" ht="14.45" customHeight="1">
      <c r="A32" s="270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 t="s">
        <v>322</v>
      </c>
      <c r="P32" s="270"/>
      <c r="Q32" s="270" t="s">
        <v>217</v>
      </c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0"/>
      <c r="AJ32" s="270"/>
      <c r="AK32" s="270"/>
      <c r="AL32" s="270"/>
      <c r="AM32" s="270"/>
      <c r="AN32" s="270"/>
      <c r="AO32" s="270"/>
      <c r="AP32" s="270"/>
      <c r="AQ32" s="270"/>
      <c r="AR32" s="270"/>
      <c r="AS32" s="139">
        <v>21</v>
      </c>
      <c r="AT32" s="139">
        <v>193</v>
      </c>
      <c r="AU32" s="271">
        <v>80.400000000000006</v>
      </c>
      <c r="AV32" s="271"/>
      <c r="AW32" s="139">
        <v>171319</v>
      </c>
      <c r="AX32" s="139">
        <v>5788076.5</v>
      </c>
      <c r="AY32" s="139">
        <v>4141647</v>
      </c>
      <c r="AZ32" s="139">
        <v>1646429.5</v>
      </c>
      <c r="BA32" s="139">
        <v>0</v>
      </c>
      <c r="BB32" s="139">
        <v>0</v>
      </c>
      <c r="BC32" s="139">
        <v>2208664</v>
      </c>
      <c r="BD32" s="139">
        <v>7996740.5</v>
      </c>
      <c r="BE32" s="139">
        <v>182261.15</v>
      </c>
      <c r="BF32" s="139">
        <v>0</v>
      </c>
      <c r="BG32" s="139">
        <v>546686.88</v>
      </c>
      <c r="BH32" s="139">
        <v>21816</v>
      </c>
      <c r="BI32" s="139">
        <v>8179.2</v>
      </c>
      <c r="BJ32" s="139">
        <v>0</v>
      </c>
      <c r="BK32" s="139">
        <v>73639.06</v>
      </c>
      <c r="BL32" s="139">
        <v>0</v>
      </c>
      <c r="BM32" s="139">
        <v>1294289.71</v>
      </c>
      <c r="BN32" s="139">
        <v>81792</v>
      </c>
      <c r="BO32" s="139">
        <v>5339</v>
      </c>
      <c r="BP32" s="139">
        <v>5339</v>
      </c>
    </row>
    <row r="33" spans="1:68" ht="14.45" customHeight="1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 t="s">
        <v>392</v>
      </c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270"/>
      <c r="AA33" s="270"/>
      <c r="AB33" s="270"/>
      <c r="AC33" s="270"/>
      <c r="AD33" s="270"/>
      <c r="AE33" s="270"/>
      <c r="AF33" s="270"/>
      <c r="AG33" s="270"/>
      <c r="AH33" s="270"/>
      <c r="AI33" s="270"/>
      <c r="AJ33" s="270"/>
      <c r="AK33" s="270"/>
      <c r="AL33" s="270"/>
      <c r="AM33" s="270"/>
      <c r="AN33" s="270"/>
      <c r="AO33" s="270"/>
      <c r="AP33" s="270"/>
      <c r="AQ33" s="270"/>
      <c r="AR33" s="270"/>
      <c r="AS33" s="139">
        <v>21</v>
      </c>
      <c r="AT33" s="139">
        <v>193</v>
      </c>
      <c r="AU33" s="271">
        <v>80.400000000000006</v>
      </c>
      <c r="AV33" s="271"/>
      <c r="AW33" s="139">
        <v>171319</v>
      </c>
      <c r="AX33" s="139">
        <v>5788076.5</v>
      </c>
      <c r="AY33" s="139">
        <v>4141647</v>
      </c>
      <c r="AZ33" s="139">
        <v>1646429.5</v>
      </c>
      <c r="BA33" s="139">
        <v>0</v>
      </c>
      <c r="BB33" s="139">
        <v>0</v>
      </c>
      <c r="BC33" s="139">
        <v>2208664</v>
      </c>
      <c r="BD33" s="139">
        <v>7996740.5</v>
      </c>
      <c r="BE33" s="139">
        <v>182261.15</v>
      </c>
      <c r="BF33" s="139">
        <v>0</v>
      </c>
      <c r="BG33" s="139">
        <v>546686.88</v>
      </c>
      <c r="BH33" s="139">
        <v>21816</v>
      </c>
      <c r="BI33" s="139">
        <v>8179.2</v>
      </c>
      <c r="BJ33" s="139">
        <v>0</v>
      </c>
      <c r="BK33" s="139">
        <v>73639.06</v>
      </c>
      <c r="BL33" s="139">
        <v>0</v>
      </c>
      <c r="BM33" s="139">
        <v>1294289.71</v>
      </c>
      <c r="BN33" s="139">
        <v>81792</v>
      </c>
      <c r="BO33" s="139">
        <v>5339</v>
      </c>
      <c r="BP33" s="139">
        <v>5339</v>
      </c>
    </row>
    <row r="34" spans="1:68" ht="14.45" customHeight="1">
      <c r="A34" s="270"/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 t="s">
        <v>323</v>
      </c>
      <c r="P34" s="270"/>
      <c r="Q34" s="270" t="s">
        <v>223</v>
      </c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0"/>
      <c r="AP34" s="270"/>
      <c r="AQ34" s="270"/>
      <c r="AR34" s="270"/>
      <c r="AS34" s="139">
        <v>39</v>
      </c>
      <c r="AT34" s="139">
        <v>442</v>
      </c>
      <c r="AU34" s="271">
        <v>142.5</v>
      </c>
      <c r="AV34" s="271"/>
      <c r="AW34" s="139">
        <v>1472900</v>
      </c>
      <c r="AX34" s="139">
        <v>11228937</v>
      </c>
      <c r="AY34" s="139">
        <v>10616472</v>
      </c>
      <c r="AZ34" s="139">
        <v>612465</v>
      </c>
      <c r="BA34" s="139">
        <v>122744</v>
      </c>
      <c r="BB34" s="139">
        <v>920580</v>
      </c>
      <c r="BC34" s="139">
        <v>3660788.39</v>
      </c>
      <c r="BD34" s="139">
        <v>15810305.390000001</v>
      </c>
      <c r="BE34" s="139">
        <v>553701.9</v>
      </c>
      <c r="BF34" s="139">
        <v>182331.77</v>
      </c>
      <c r="BG34" s="139">
        <v>1093373.76</v>
      </c>
      <c r="BH34" s="139">
        <v>32227.200000000001</v>
      </c>
      <c r="BI34" s="139">
        <v>4275</v>
      </c>
      <c r="BJ34" s="139">
        <v>0</v>
      </c>
      <c r="BK34" s="139">
        <v>109442.4</v>
      </c>
      <c r="BL34" s="139">
        <v>0</v>
      </c>
      <c r="BM34" s="139">
        <v>1642686.36</v>
      </c>
      <c r="BN34" s="139">
        <v>42750</v>
      </c>
      <c r="BO34" s="139">
        <v>2458</v>
      </c>
      <c r="BP34" s="139">
        <v>2458</v>
      </c>
    </row>
    <row r="35" spans="1:68" ht="14.45" customHeight="1">
      <c r="A35" s="270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 t="s">
        <v>393</v>
      </c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139">
        <v>39</v>
      </c>
      <c r="AT35" s="139">
        <v>442</v>
      </c>
      <c r="AU35" s="271">
        <v>142.5</v>
      </c>
      <c r="AV35" s="271"/>
      <c r="AW35" s="139">
        <v>1472900</v>
      </c>
      <c r="AX35" s="139">
        <v>11228937</v>
      </c>
      <c r="AY35" s="139">
        <v>10616472</v>
      </c>
      <c r="AZ35" s="139">
        <v>612465</v>
      </c>
      <c r="BA35" s="139">
        <v>122744</v>
      </c>
      <c r="BB35" s="139">
        <v>920580</v>
      </c>
      <c r="BC35" s="139">
        <v>3660788.39</v>
      </c>
      <c r="BD35" s="139">
        <v>15810305.390000001</v>
      </c>
      <c r="BE35" s="139">
        <v>553701.9</v>
      </c>
      <c r="BF35" s="139">
        <v>182331.77</v>
      </c>
      <c r="BG35" s="139">
        <v>1093373.76</v>
      </c>
      <c r="BH35" s="139">
        <v>32227.200000000001</v>
      </c>
      <c r="BI35" s="139">
        <v>4275</v>
      </c>
      <c r="BJ35" s="139">
        <v>0</v>
      </c>
      <c r="BK35" s="139">
        <v>109442.4</v>
      </c>
      <c r="BL35" s="139">
        <v>0</v>
      </c>
      <c r="BM35" s="139">
        <v>1642686.36</v>
      </c>
      <c r="BN35" s="139">
        <v>42750</v>
      </c>
      <c r="BO35" s="139">
        <v>2458</v>
      </c>
      <c r="BP35" s="139">
        <v>2458</v>
      </c>
    </row>
    <row r="36" spans="1:68" ht="14.45" customHeight="1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 t="s">
        <v>324</v>
      </c>
      <c r="P36" s="270"/>
      <c r="Q36" s="270" t="s">
        <v>224</v>
      </c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139">
        <v>30</v>
      </c>
      <c r="AT36" s="139">
        <v>352</v>
      </c>
      <c r="AU36" s="271">
        <v>122.75</v>
      </c>
      <c r="AV36" s="271"/>
      <c r="AW36" s="139">
        <v>1013231</v>
      </c>
      <c r="AX36" s="139">
        <v>9913730</v>
      </c>
      <c r="AY36" s="139">
        <v>9559145</v>
      </c>
      <c r="AZ36" s="139">
        <v>354585</v>
      </c>
      <c r="BA36" s="139">
        <v>0</v>
      </c>
      <c r="BB36" s="139">
        <v>0</v>
      </c>
      <c r="BC36" s="139">
        <v>3514370.28</v>
      </c>
      <c r="BD36" s="139">
        <v>13428100.279999999</v>
      </c>
      <c r="BE36" s="139">
        <v>599060.1</v>
      </c>
      <c r="BF36" s="139">
        <v>34137.5</v>
      </c>
      <c r="BG36" s="139">
        <v>963210.22</v>
      </c>
      <c r="BH36" s="139">
        <v>28756.799999999999</v>
      </c>
      <c r="BI36" s="139">
        <v>4572</v>
      </c>
      <c r="BJ36" s="139">
        <v>0</v>
      </c>
      <c r="BK36" s="139">
        <v>107773.99</v>
      </c>
      <c r="BL36" s="139">
        <v>0</v>
      </c>
      <c r="BM36" s="139">
        <v>1731139.67</v>
      </c>
      <c r="BN36" s="139">
        <v>45720</v>
      </c>
      <c r="BO36" s="139">
        <v>2540</v>
      </c>
      <c r="BP36" s="139">
        <v>2540</v>
      </c>
    </row>
    <row r="37" spans="1:68" ht="14.45" customHeight="1">
      <c r="A37" s="270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 t="s">
        <v>394</v>
      </c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139">
        <v>30</v>
      </c>
      <c r="AT37" s="139">
        <v>352</v>
      </c>
      <c r="AU37" s="271">
        <v>122.75</v>
      </c>
      <c r="AV37" s="271"/>
      <c r="AW37" s="139">
        <v>1013231</v>
      </c>
      <c r="AX37" s="139">
        <v>9913730</v>
      </c>
      <c r="AY37" s="139">
        <v>9559145</v>
      </c>
      <c r="AZ37" s="139">
        <v>354585</v>
      </c>
      <c r="BA37" s="139">
        <v>0</v>
      </c>
      <c r="BB37" s="139">
        <v>0</v>
      </c>
      <c r="BC37" s="139">
        <v>3514370.28</v>
      </c>
      <c r="BD37" s="139">
        <v>13428100.279999999</v>
      </c>
      <c r="BE37" s="139">
        <v>599060.1</v>
      </c>
      <c r="BF37" s="139">
        <v>34137.5</v>
      </c>
      <c r="BG37" s="139">
        <v>963210.22</v>
      </c>
      <c r="BH37" s="139">
        <v>28756.799999999999</v>
      </c>
      <c r="BI37" s="139">
        <v>4572</v>
      </c>
      <c r="BJ37" s="139">
        <v>0</v>
      </c>
      <c r="BK37" s="139">
        <v>107773.99</v>
      </c>
      <c r="BL37" s="139">
        <v>0</v>
      </c>
      <c r="BM37" s="139">
        <v>1731139.67</v>
      </c>
      <c r="BN37" s="139">
        <v>45720</v>
      </c>
      <c r="BO37" s="139">
        <v>2540</v>
      </c>
      <c r="BP37" s="139">
        <v>2540</v>
      </c>
    </row>
    <row r="38" spans="1:68" ht="14.45" customHeight="1">
      <c r="A38" s="270"/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 t="s">
        <v>325</v>
      </c>
      <c r="P38" s="270"/>
      <c r="Q38" s="270" t="s">
        <v>227</v>
      </c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139">
        <v>26</v>
      </c>
      <c r="AT38" s="139">
        <v>172</v>
      </c>
      <c r="AU38" s="271">
        <v>52.5</v>
      </c>
      <c r="AV38" s="271"/>
      <c r="AW38" s="139">
        <v>1222908</v>
      </c>
      <c r="AX38" s="139">
        <v>6936479.5</v>
      </c>
      <c r="AY38" s="139">
        <v>5309989</v>
      </c>
      <c r="AZ38" s="139">
        <v>1626490.5</v>
      </c>
      <c r="BA38" s="139">
        <v>0</v>
      </c>
      <c r="BB38" s="139">
        <v>0</v>
      </c>
      <c r="BC38" s="139">
        <v>3003744.39</v>
      </c>
      <c r="BD38" s="139">
        <v>9940223.8900000006</v>
      </c>
      <c r="BE38" s="139">
        <v>300442.33</v>
      </c>
      <c r="BF38" s="139">
        <v>0</v>
      </c>
      <c r="BG38" s="139">
        <v>807013.96</v>
      </c>
      <c r="BH38" s="139">
        <v>28756.799999999999</v>
      </c>
      <c r="BI38" s="139">
        <v>10006.200000000001</v>
      </c>
      <c r="BJ38" s="139">
        <v>0</v>
      </c>
      <c r="BK38" s="139">
        <v>98633.73</v>
      </c>
      <c r="BL38" s="139">
        <v>0</v>
      </c>
      <c r="BM38" s="139">
        <v>1658829.37</v>
      </c>
      <c r="BN38" s="139">
        <v>100062</v>
      </c>
      <c r="BO38" s="139">
        <v>5559</v>
      </c>
      <c r="BP38" s="139">
        <v>5559</v>
      </c>
    </row>
    <row r="39" spans="1:68" ht="14.45" customHeight="1">
      <c r="A39" s="270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 t="s">
        <v>401</v>
      </c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139">
        <v>26</v>
      </c>
      <c r="AT39" s="139">
        <v>172</v>
      </c>
      <c r="AU39" s="271">
        <v>52.5</v>
      </c>
      <c r="AV39" s="271"/>
      <c r="AW39" s="139">
        <v>1222908</v>
      </c>
      <c r="AX39" s="139">
        <v>6936479.5</v>
      </c>
      <c r="AY39" s="139">
        <v>5309989</v>
      </c>
      <c r="AZ39" s="139">
        <v>1626490.5</v>
      </c>
      <c r="BA39" s="139">
        <v>0</v>
      </c>
      <c r="BB39" s="139">
        <v>0</v>
      </c>
      <c r="BC39" s="139">
        <v>3003744.39</v>
      </c>
      <c r="BD39" s="139">
        <v>9940223.8900000006</v>
      </c>
      <c r="BE39" s="139">
        <v>300442.33</v>
      </c>
      <c r="BF39" s="139">
        <v>0</v>
      </c>
      <c r="BG39" s="139">
        <v>807013.96</v>
      </c>
      <c r="BH39" s="139">
        <v>28756.799999999999</v>
      </c>
      <c r="BI39" s="139">
        <v>10006.200000000001</v>
      </c>
      <c r="BJ39" s="139">
        <v>0</v>
      </c>
      <c r="BK39" s="139">
        <v>98633.73</v>
      </c>
      <c r="BL39" s="139">
        <v>0</v>
      </c>
      <c r="BM39" s="139">
        <v>1658829.37</v>
      </c>
      <c r="BN39" s="139">
        <v>100062</v>
      </c>
      <c r="BO39" s="139">
        <v>5559</v>
      </c>
      <c r="BP39" s="139">
        <v>5559</v>
      </c>
    </row>
    <row r="40" spans="1:68" ht="14.45" customHeight="1">
      <c r="A40" s="270"/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 t="s">
        <v>326</v>
      </c>
      <c r="P40" s="270"/>
      <c r="Q40" s="270" t="s">
        <v>228</v>
      </c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0"/>
      <c r="AL40" s="270"/>
      <c r="AM40" s="270"/>
      <c r="AN40" s="270"/>
      <c r="AO40" s="270"/>
      <c r="AP40" s="270"/>
      <c r="AQ40" s="270"/>
      <c r="AR40" s="270"/>
      <c r="AS40" s="139">
        <v>24</v>
      </c>
      <c r="AT40" s="139">
        <v>143</v>
      </c>
      <c r="AU40" s="271">
        <v>40.700000000000003</v>
      </c>
      <c r="AV40" s="271"/>
      <c r="AW40" s="139">
        <v>742411</v>
      </c>
      <c r="AX40" s="139">
        <v>6318631.5</v>
      </c>
      <c r="AY40" s="139">
        <v>4384854</v>
      </c>
      <c r="AZ40" s="139">
        <v>1933777.5</v>
      </c>
      <c r="BA40" s="139">
        <v>0</v>
      </c>
      <c r="BB40" s="139">
        <v>0</v>
      </c>
      <c r="BC40" s="139">
        <v>2308043.83</v>
      </c>
      <c r="BD40" s="139">
        <v>8626675.3300000001</v>
      </c>
      <c r="BE40" s="139">
        <v>248126.15</v>
      </c>
      <c r="BF40" s="139">
        <v>0</v>
      </c>
      <c r="BG40" s="139">
        <v>676850.42</v>
      </c>
      <c r="BH40" s="139">
        <v>25286.400000000001</v>
      </c>
      <c r="BI40" s="139">
        <v>4030.2</v>
      </c>
      <c r="BJ40" s="139">
        <v>0</v>
      </c>
      <c r="BK40" s="139">
        <v>76549.960000000006</v>
      </c>
      <c r="BL40" s="139">
        <v>0</v>
      </c>
      <c r="BM40" s="139">
        <v>1236898.7</v>
      </c>
      <c r="BN40" s="139">
        <v>40302</v>
      </c>
      <c r="BO40" s="139">
        <v>2429</v>
      </c>
      <c r="BP40" s="139">
        <v>2429</v>
      </c>
    </row>
    <row r="41" spans="1:68" ht="14.45" customHeight="1">
      <c r="A41" s="270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 t="s">
        <v>388</v>
      </c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139">
        <v>24</v>
      </c>
      <c r="AT41" s="139">
        <v>143</v>
      </c>
      <c r="AU41" s="271">
        <v>40.700000000000003</v>
      </c>
      <c r="AV41" s="271"/>
      <c r="AW41" s="139">
        <v>742411</v>
      </c>
      <c r="AX41" s="139">
        <v>6318631.5</v>
      </c>
      <c r="AY41" s="139">
        <v>4384854</v>
      </c>
      <c r="AZ41" s="139">
        <v>1933777.5</v>
      </c>
      <c r="BA41" s="139">
        <v>0</v>
      </c>
      <c r="BB41" s="139">
        <v>0</v>
      </c>
      <c r="BC41" s="139">
        <v>2308043.83</v>
      </c>
      <c r="BD41" s="139">
        <v>8626675.3300000001</v>
      </c>
      <c r="BE41" s="139">
        <v>248126.15</v>
      </c>
      <c r="BF41" s="139">
        <v>0</v>
      </c>
      <c r="BG41" s="139">
        <v>676850.42</v>
      </c>
      <c r="BH41" s="139">
        <v>25286.400000000001</v>
      </c>
      <c r="BI41" s="139">
        <v>4030.2</v>
      </c>
      <c r="BJ41" s="139">
        <v>0</v>
      </c>
      <c r="BK41" s="139">
        <v>76549.960000000006</v>
      </c>
      <c r="BL41" s="139">
        <v>0</v>
      </c>
      <c r="BM41" s="139">
        <v>1236898.7</v>
      </c>
      <c r="BN41" s="139">
        <v>40302</v>
      </c>
      <c r="BO41" s="139">
        <v>2429</v>
      </c>
      <c r="BP41" s="139">
        <v>2429</v>
      </c>
    </row>
    <row r="42" spans="1:68" ht="14.45" customHeight="1">
      <c r="A42" s="270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 t="s">
        <v>327</v>
      </c>
      <c r="P42" s="270"/>
      <c r="Q42" s="270" t="s">
        <v>230</v>
      </c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139">
        <v>27</v>
      </c>
      <c r="AT42" s="139">
        <v>192</v>
      </c>
      <c r="AU42" s="271">
        <v>72</v>
      </c>
      <c r="AV42" s="271"/>
      <c r="AW42" s="139">
        <v>651816</v>
      </c>
      <c r="AX42" s="139">
        <v>6842934.5</v>
      </c>
      <c r="AY42" s="139">
        <v>5114277</v>
      </c>
      <c r="AZ42" s="139">
        <v>1728657.5</v>
      </c>
      <c r="BA42" s="139">
        <v>0</v>
      </c>
      <c r="BB42" s="139">
        <v>0</v>
      </c>
      <c r="BC42" s="139">
        <v>2076589.76</v>
      </c>
      <c r="BD42" s="139">
        <v>8919524.2599999998</v>
      </c>
      <c r="BE42" s="139">
        <v>207253.3</v>
      </c>
      <c r="BF42" s="139">
        <v>30606.03</v>
      </c>
      <c r="BG42" s="139">
        <v>676850.42</v>
      </c>
      <c r="BH42" s="139">
        <v>25286.400000000001</v>
      </c>
      <c r="BI42" s="139">
        <v>2979</v>
      </c>
      <c r="BJ42" s="139">
        <v>0</v>
      </c>
      <c r="BK42" s="139">
        <v>68487.5</v>
      </c>
      <c r="BL42" s="139">
        <v>0</v>
      </c>
      <c r="BM42" s="139">
        <v>1035337.11</v>
      </c>
      <c r="BN42" s="139">
        <v>29790</v>
      </c>
      <c r="BO42" s="139">
        <v>1655</v>
      </c>
      <c r="BP42" s="139">
        <v>1655</v>
      </c>
    </row>
    <row r="43" spans="1:68" ht="14.45" customHeight="1">
      <c r="A43" s="270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0" t="s">
        <v>396</v>
      </c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270"/>
      <c r="AH43" s="270"/>
      <c r="AI43" s="270"/>
      <c r="AJ43" s="270"/>
      <c r="AK43" s="270"/>
      <c r="AL43" s="270"/>
      <c r="AM43" s="270"/>
      <c r="AN43" s="270"/>
      <c r="AO43" s="270"/>
      <c r="AP43" s="270"/>
      <c r="AQ43" s="270"/>
      <c r="AR43" s="270"/>
      <c r="AS43" s="139">
        <v>27</v>
      </c>
      <c r="AT43" s="139">
        <v>192</v>
      </c>
      <c r="AU43" s="271">
        <v>72</v>
      </c>
      <c r="AV43" s="271"/>
      <c r="AW43" s="139">
        <v>651816</v>
      </c>
      <c r="AX43" s="139">
        <v>6842934.5</v>
      </c>
      <c r="AY43" s="139">
        <v>5114277</v>
      </c>
      <c r="AZ43" s="139">
        <v>1728657.5</v>
      </c>
      <c r="BA43" s="139">
        <v>0</v>
      </c>
      <c r="BB43" s="139">
        <v>0</v>
      </c>
      <c r="BC43" s="139">
        <v>2076589.76</v>
      </c>
      <c r="BD43" s="139">
        <v>8919524.2599999998</v>
      </c>
      <c r="BE43" s="139">
        <v>207253.3</v>
      </c>
      <c r="BF43" s="139">
        <v>30606.03</v>
      </c>
      <c r="BG43" s="139">
        <v>676850.42</v>
      </c>
      <c r="BH43" s="139">
        <v>25286.400000000001</v>
      </c>
      <c r="BI43" s="139">
        <v>2979</v>
      </c>
      <c r="BJ43" s="139">
        <v>0</v>
      </c>
      <c r="BK43" s="139">
        <v>68487.5</v>
      </c>
      <c r="BL43" s="139">
        <v>0</v>
      </c>
      <c r="BM43" s="139">
        <v>1035337.11</v>
      </c>
      <c r="BN43" s="139">
        <v>29790</v>
      </c>
      <c r="BO43" s="139">
        <v>1655</v>
      </c>
      <c r="BP43" s="139">
        <v>1655</v>
      </c>
    </row>
    <row r="44" spans="1:68" ht="14.45" customHeight="1">
      <c r="A44" s="270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 t="s">
        <v>328</v>
      </c>
      <c r="P44" s="270"/>
      <c r="Q44" s="270" t="s">
        <v>235</v>
      </c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139">
        <v>35</v>
      </c>
      <c r="AT44" s="139">
        <v>274</v>
      </c>
      <c r="AU44" s="271">
        <v>98.2</v>
      </c>
      <c r="AV44" s="271"/>
      <c r="AW44" s="139">
        <v>684114</v>
      </c>
      <c r="AX44" s="139">
        <v>8788944</v>
      </c>
      <c r="AY44" s="139">
        <v>7177086</v>
      </c>
      <c r="AZ44" s="139">
        <v>1611858</v>
      </c>
      <c r="BA44" s="139">
        <v>0</v>
      </c>
      <c r="BB44" s="139">
        <v>0</v>
      </c>
      <c r="BC44" s="139">
        <v>2981011.94</v>
      </c>
      <c r="BD44" s="139">
        <v>11769955.939999999</v>
      </c>
      <c r="BE44" s="139">
        <v>352275.27</v>
      </c>
      <c r="BF44" s="139">
        <v>29428.880000000001</v>
      </c>
      <c r="BG44" s="139">
        <v>963210.22</v>
      </c>
      <c r="BH44" s="139">
        <v>28756.799999999999</v>
      </c>
      <c r="BI44" s="139">
        <v>5182.2</v>
      </c>
      <c r="BJ44" s="139">
        <v>0</v>
      </c>
      <c r="BK44" s="139">
        <v>96674.87</v>
      </c>
      <c r="BL44" s="139">
        <v>0</v>
      </c>
      <c r="BM44" s="139">
        <v>1453661.7</v>
      </c>
      <c r="BN44" s="139">
        <v>51822</v>
      </c>
      <c r="BO44" s="139">
        <v>2953</v>
      </c>
      <c r="BP44" s="139">
        <v>2953</v>
      </c>
    </row>
    <row r="45" spans="1:68" ht="14.45" customHeight="1">
      <c r="A45" s="270"/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 t="s">
        <v>402</v>
      </c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0"/>
      <c r="AH45" s="270"/>
      <c r="AI45" s="270"/>
      <c r="AJ45" s="270"/>
      <c r="AK45" s="270"/>
      <c r="AL45" s="270"/>
      <c r="AM45" s="270"/>
      <c r="AN45" s="270"/>
      <c r="AO45" s="270"/>
      <c r="AP45" s="270"/>
      <c r="AQ45" s="270"/>
      <c r="AR45" s="270"/>
      <c r="AS45" s="139">
        <v>35</v>
      </c>
      <c r="AT45" s="139">
        <v>274</v>
      </c>
      <c r="AU45" s="271">
        <v>98.2</v>
      </c>
      <c r="AV45" s="271"/>
      <c r="AW45" s="139">
        <v>684114</v>
      </c>
      <c r="AX45" s="139">
        <v>8788944</v>
      </c>
      <c r="AY45" s="139">
        <v>7177086</v>
      </c>
      <c r="AZ45" s="139">
        <v>1611858</v>
      </c>
      <c r="BA45" s="139">
        <v>0</v>
      </c>
      <c r="BB45" s="139">
        <v>0</v>
      </c>
      <c r="BC45" s="139">
        <v>2981011.94</v>
      </c>
      <c r="BD45" s="139">
        <v>11769955.939999999</v>
      </c>
      <c r="BE45" s="139">
        <v>352275.27</v>
      </c>
      <c r="BF45" s="139">
        <v>29428.880000000001</v>
      </c>
      <c r="BG45" s="139">
        <v>963210.22</v>
      </c>
      <c r="BH45" s="139">
        <v>28756.799999999999</v>
      </c>
      <c r="BI45" s="139">
        <v>5182.2</v>
      </c>
      <c r="BJ45" s="139">
        <v>0</v>
      </c>
      <c r="BK45" s="139">
        <v>96674.87</v>
      </c>
      <c r="BL45" s="139">
        <v>0</v>
      </c>
      <c r="BM45" s="139">
        <v>1453661.7</v>
      </c>
      <c r="BN45" s="139">
        <v>51822</v>
      </c>
      <c r="BO45" s="139">
        <v>2953</v>
      </c>
      <c r="BP45" s="139">
        <v>2953</v>
      </c>
    </row>
    <row r="46" spans="1:68" ht="14.45" customHeight="1">
      <c r="A46" s="270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 t="s">
        <v>329</v>
      </c>
      <c r="P46" s="270"/>
      <c r="Q46" s="270" t="s">
        <v>236</v>
      </c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139">
        <v>29</v>
      </c>
      <c r="AT46" s="139">
        <v>249</v>
      </c>
      <c r="AU46" s="271">
        <v>85.44</v>
      </c>
      <c r="AV46" s="271"/>
      <c r="AW46" s="139">
        <v>1001032</v>
      </c>
      <c r="AX46" s="139">
        <v>8060579</v>
      </c>
      <c r="AY46" s="139">
        <v>6830996</v>
      </c>
      <c r="AZ46" s="139">
        <v>1229583</v>
      </c>
      <c r="BA46" s="139">
        <v>0</v>
      </c>
      <c r="BB46" s="139">
        <v>0</v>
      </c>
      <c r="BC46" s="139">
        <v>2191352.86</v>
      </c>
      <c r="BD46" s="139">
        <v>10251931.859999999</v>
      </c>
      <c r="BE46" s="139">
        <v>309243.64</v>
      </c>
      <c r="BF46" s="139">
        <v>31783.19</v>
      </c>
      <c r="BG46" s="139">
        <v>807013.96</v>
      </c>
      <c r="BH46" s="139">
        <v>28756.799999999999</v>
      </c>
      <c r="BI46" s="139">
        <v>2834.1</v>
      </c>
      <c r="BJ46" s="139">
        <v>0</v>
      </c>
      <c r="BK46" s="139">
        <v>68861.31</v>
      </c>
      <c r="BL46" s="139">
        <v>0</v>
      </c>
      <c r="BM46" s="139">
        <v>914518.86</v>
      </c>
      <c r="BN46" s="139">
        <v>28341</v>
      </c>
      <c r="BO46" s="139">
        <v>1887.5</v>
      </c>
      <c r="BP46" s="139">
        <v>1887.5</v>
      </c>
    </row>
    <row r="47" spans="1:68" ht="14.45" customHeight="1">
      <c r="A47" s="270"/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 t="s">
        <v>397</v>
      </c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  <c r="AM47" s="270"/>
      <c r="AN47" s="270"/>
      <c r="AO47" s="270"/>
      <c r="AP47" s="270"/>
      <c r="AQ47" s="270"/>
      <c r="AR47" s="270"/>
      <c r="AS47" s="139">
        <v>29</v>
      </c>
      <c r="AT47" s="139">
        <v>249</v>
      </c>
      <c r="AU47" s="271">
        <v>85.44</v>
      </c>
      <c r="AV47" s="271"/>
      <c r="AW47" s="139">
        <v>1001032</v>
      </c>
      <c r="AX47" s="139">
        <v>8060579</v>
      </c>
      <c r="AY47" s="139">
        <v>6830996</v>
      </c>
      <c r="AZ47" s="139">
        <v>1229583</v>
      </c>
      <c r="BA47" s="139">
        <v>0</v>
      </c>
      <c r="BB47" s="139">
        <v>0</v>
      </c>
      <c r="BC47" s="139">
        <v>2191352.86</v>
      </c>
      <c r="BD47" s="139">
        <v>10251931.859999999</v>
      </c>
      <c r="BE47" s="139">
        <v>309243.64</v>
      </c>
      <c r="BF47" s="139">
        <v>31783.19</v>
      </c>
      <c r="BG47" s="139">
        <v>807013.96</v>
      </c>
      <c r="BH47" s="139">
        <v>28756.799999999999</v>
      </c>
      <c r="BI47" s="139">
        <v>2834.1</v>
      </c>
      <c r="BJ47" s="139">
        <v>0</v>
      </c>
      <c r="BK47" s="139">
        <v>68861.31</v>
      </c>
      <c r="BL47" s="139">
        <v>0</v>
      </c>
      <c r="BM47" s="139">
        <v>914518.86</v>
      </c>
      <c r="BN47" s="139">
        <v>28341</v>
      </c>
      <c r="BO47" s="139">
        <v>1887.5</v>
      </c>
      <c r="BP47" s="139">
        <v>1887.5</v>
      </c>
    </row>
    <row r="48" spans="1:68" ht="14.45" customHeight="1">
      <c r="A48" s="270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 t="s">
        <v>330</v>
      </c>
      <c r="P48" s="270"/>
      <c r="Q48" s="270" t="s">
        <v>237</v>
      </c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139">
        <v>27</v>
      </c>
      <c r="AT48" s="139">
        <v>199</v>
      </c>
      <c r="AU48" s="271">
        <v>67.77</v>
      </c>
      <c r="AV48" s="271"/>
      <c r="AW48" s="139">
        <v>1064189</v>
      </c>
      <c r="AX48" s="139">
        <v>7755173.5</v>
      </c>
      <c r="AY48" s="139">
        <v>6718843</v>
      </c>
      <c r="AZ48" s="139">
        <v>1036330.5</v>
      </c>
      <c r="BA48" s="139">
        <v>0</v>
      </c>
      <c r="BB48" s="139">
        <v>0</v>
      </c>
      <c r="BC48" s="139">
        <v>2673685.33</v>
      </c>
      <c r="BD48" s="139">
        <v>10428858.83</v>
      </c>
      <c r="BE48" s="139">
        <v>304411.92</v>
      </c>
      <c r="BF48" s="139">
        <v>29428.880000000001</v>
      </c>
      <c r="BG48" s="139">
        <v>807013.96</v>
      </c>
      <c r="BH48" s="139">
        <v>28756.799999999999</v>
      </c>
      <c r="BI48" s="139">
        <v>4019.4</v>
      </c>
      <c r="BJ48" s="139">
        <v>0</v>
      </c>
      <c r="BK48" s="139">
        <v>87187.47</v>
      </c>
      <c r="BL48" s="139">
        <v>0</v>
      </c>
      <c r="BM48" s="139">
        <v>1372672.9</v>
      </c>
      <c r="BN48" s="139">
        <v>40194</v>
      </c>
      <c r="BO48" s="139">
        <v>2233</v>
      </c>
      <c r="BP48" s="139">
        <v>2233</v>
      </c>
    </row>
    <row r="49" spans="1:68" ht="14.45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 t="s">
        <v>385</v>
      </c>
      <c r="P49" s="270"/>
      <c r="Q49" s="270"/>
      <c r="R49" s="270"/>
      <c r="S49" s="270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  <c r="AM49" s="270"/>
      <c r="AN49" s="270"/>
      <c r="AO49" s="270"/>
      <c r="AP49" s="270"/>
      <c r="AQ49" s="270"/>
      <c r="AR49" s="270"/>
      <c r="AS49" s="139">
        <v>27</v>
      </c>
      <c r="AT49" s="139">
        <v>199</v>
      </c>
      <c r="AU49" s="271">
        <v>67.77</v>
      </c>
      <c r="AV49" s="271"/>
      <c r="AW49" s="139">
        <v>1064189</v>
      </c>
      <c r="AX49" s="139">
        <v>7755173.5</v>
      </c>
      <c r="AY49" s="139">
        <v>6718843</v>
      </c>
      <c r="AZ49" s="139">
        <v>1036330.5</v>
      </c>
      <c r="BA49" s="139">
        <v>0</v>
      </c>
      <c r="BB49" s="139">
        <v>0</v>
      </c>
      <c r="BC49" s="139">
        <v>2673685.33</v>
      </c>
      <c r="BD49" s="139">
        <v>10428858.83</v>
      </c>
      <c r="BE49" s="139">
        <v>304411.92</v>
      </c>
      <c r="BF49" s="139">
        <v>29428.880000000001</v>
      </c>
      <c r="BG49" s="139">
        <v>807013.96</v>
      </c>
      <c r="BH49" s="139">
        <v>28756.799999999999</v>
      </c>
      <c r="BI49" s="139">
        <v>4019.4</v>
      </c>
      <c r="BJ49" s="139">
        <v>0</v>
      </c>
      <c r="BK49" s="139">
        <v>87187.47</v>
      </c>
      <c r="BL49" s="139">
        <v>0</v>
      </c>
      <c r="BM49" s="139">
        <v>1372672.9</v>
      </c>
      <c r="BN49" s="139">
        <v>40194</v>
      </c>
      <c r="BO49" s="139">
        <v>2233</v>
      </c>
      <c r="BP49" s="139">
        <v>2233</v>
      </c>
    </row>
    <row r="50" spans="1:68" ht="14.45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 t="s">
        <v>331</v>
      </c>
      <c r="P50" s="270"/>
      <c r="Q50" s="270" t="s">
        <v>250</v>
      </c>
      <c r="R50" s="270"/>
      <c r="S50" s="270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  <c r="AM50" s="270"/>
      <c r="AN50" s="270"/>
      <c r="AO50" s="270"/>
      <c r="AP50" s="270"/>
      <c r="AQ50" s="270"/>
      <c r="AR50" s="270"/>
      <c r="AS50" s="139">
        <v>29</v>
      </c>
      <c r="AT50" s="139">
        <v>205</v>
      </c>
      <c r="AU50" s="271">
        <v>83.57</v>
      </c>
      <c r="AV50" s="271"/>
      <c r="AW50" s="139">
        <v>1072208</v>
      </c>
      <c r="AX50" s="139">
        <v>7394360.5</v>
      </c>
      <c r="AY50" s="139">
        <v>5761416</v>
      </c>
      <c r="AZ50" s="139">
        <v>1632944.5</v>
      </c>
      <c r="BA50" s="139">
        <v>0</v>
      </c>
      <c r="BB50" s="139">
        <v>0</v>
      </c>
      <c r="BC50" s="139">
        <v>2526133.12</v>
      </c>
      <c r="BD50" s="139">
        <v>9920493.6199999992</v>
      </c>
      <c r="BE50" s="139">
        <v>235326.81</v>
      </c>
      <c r="BF50" s="139">
        <v>23543.1</v>
      </c>
      <c r="BG50" s="139">
        <v>807013.96</v>
      </c>
      <c r="BH50" s="139">
        <v>28756.799999999999</v>
      </c>
      <c r="BI50" s="139">
        <v>4207.8599999999997</v>
      </c>
      <c r="BJ50" s="139">
        <v>0</v>
      </c>
      <c r="BK50" s="139">
        <v>84316.15</v>
      </c>
      <c r="BL50" s="139">
        <v>0</v>
      </c>
      <c r="BM50" s="139">
        <v>1300889.8400000001</v>
      </c>
      <c r="BN50" s="139">
        <v>42078.6</v>
      </c>
      <c r="BO50" s="139">
        <v>2337.6999999999998</v>
      </c>
      <c r="BP50" s="139">
        <v>2337.6999999999998</v>
      </c>
    </row>
    <row r="51" spans="1:68" ht="14.45" customHeight="1">
      <c r="A51" s="270"/>
      <c r="B51" s="270"/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 t="s">
        <v>389</v>
      </c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  <c r="AM51" s="270"/>
      <c r="AN51" s="270"/>
      <c r="AO51" s="270"/>
      <c r="AP51" s="270"/>
      <c r="AQ51" s="270"/>
      <c r="AR51" s="270"/>
      <c r="AS51" s="139">
        <v>29</v>
      </c>
      <c r="AT51" s="139">
        <v>205</v>
      </c>
      <c r="AU51" s="271">
        <v>83.57</v>
      </c>
      <c r="AV51" s="271"/>
      <c r="AW51" s="139">
        <v>1072208</v>
      </c>
      <c r="AX51" s="139">
        <v>7394360.5</v>
      </c>
      <c r="AY51" s="139">
        <v>5761416</v>
      </c>
      <c r="AZ51" s="139">
        <v>1632944.5</v>
      </c>
      <c r="BA51" s="139">
        <v>0</v>
      </c>
      <c r="BB51" s="139">
        <v>0</v>
      </c>
      <c r="BC51" s="139">
        <v>2526133.12</v>
      </c>
      <c r="BD51" s="139">
        <v>9920493.6199999992</v>
      </c>
      <c r="BE51" s="139">
        <v>235326.81</v>
      </c>
      <c r="BF51" s="139">
        <v>23543.1</v>
      </c>
      <c r="BG51" s="139">
        <v>807013.96</v>
      </c>
      <c r="BH51" s="139">
        <v>28756.799999999999</v>
      </c>
      <c r="BI51" s="139">
        <v>4207.8599999999997</v>
      </c>
      <c r="BJ51" s="139">
        <v>0</v>
      </c>
      <c r="BK51" s="139">
        <v>84316.15</v>
      </c>
      <c r="BL51" s="139">
        <v>0</v>
      </c>
      <c r="BM51" s="139">
        <v>1300889.8400000001</v>
      </c>
      <c r="BN51" s="139">
        <v>42078.6</v>
      </c>
      <c r="BO51" s="139">
        <v>2337.6999999999998</v>
      </c>
      <c r="BP51" s="139">
        <v>2337.6999999999998</v>
      </c>
    </row>
    <row r="52" spans="1:68" ht="14.45" customHeight="1">
      <c r="A52" s="270"/>
      <c r="B52" s="270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 t="s">
        <v>332</v>
      </c>
      <c r="P52" s="270"/>
      <c r="Q52" s="270" t="s">
        <v>252</v>
      </c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  <c r="AM52" s="270"/>
      <c r="AN52" s="270"/>
      <c r="AO52" s="270"/>
      <c r="AP52" s="270"/>
      <c r="AQ52" s="270"/>
      <c r="AR52" s="270"/>
      <c r="AS52" s="139">
        <v>21</v>
      </c>
      <c r="AT52" s="139">
        <v>273</v>
      </c>
      <c r="AU52" s="271">
        <v>104.36</v>
      </c>
      <c r="AV52" s="271"/>
      <c r="AW52" s="139">
        <v>231424</v>
      </c>
      <c r="AX52" s="139">
        <v>6933648.7000000002</v>
      </c>
      <c r="AY52" s="139">
        <v>6434933.2000000002</v>
      </c>
      <c r="AZ52" s="139">
        <v>498715.5</v>
      </c>
      <c r="BA52" s="139">
        <v>0</v>
      </c>
      <c r="BB52" s="139">
        <v>0</v>
      </c>
      <c r="BC52" s="139">
        <v>2582962.2599999998</v>
      </c>
      <c r="BD52" s="139">
        <v>9516610.9600000009</v>
      </c>
      <c r="BE52" s="139">
        <v>308157.78000000003</v>
      </c>
      <c r="BF52" s="139">
        <v>29428.880000000001</v>
      </c>
      <c r="BG52" s="139">
        <v>546686.88</v>
      </c>
      <c r="BH52" s="139">
        <v>21816</v>
      </c>
      <c r="BI52" s="139">
        <v>7333.2</v>
      </c>
      <c r="BJ52" s="139">
        <v>0</v>
      </c>
      <c r="BK52" s="139">
        <v>82419.02</v>
      </c>
      <c r="BL52" s="139">
        <v>0</v>
      </c>
      <c r="BM52" s="139">
        <v>1513788.5</v>
      </c>
      <c r="BN52" s="139">
        <v>73332</v>
      </c>
      <c r="BO52" s="139">
        <v>4074</v>
      </c>
      <c r="BP52" s="139">
        <v>4074</v>
      </c>
    </row>
    <row r="53" spans="1:68" ht="14.45" customHeight="1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2" t="s">
        <v>252</v>
      </c>
      <c r="R53" s="272"/>
      <c r="S53" s="272"/>
      <c r="T53" s="272"/>
      <c r="U53" s="272"/>
      <c r="V53" s="272"/>
      <c r="W53" s="272"/>
      <c r="X53" s="272"/>
      <c r="Y53" s="272"/>
      <c r="Z53" s="272"/>
      <c r="AA53" s="272"/>
      <c r="AB53" s="272"/>
      <c r="AC53" s="272"/>
      <c r="AD53" s="272"/>
      <c r="AE53" s="272"/>
      <c r="AF53" s="272"/>
      <c r="AG53" s="272"/>
      <c r="AH53" s="272"/>
      <c r="AI53" s="272"/>
      <c r="AJ53" s="272"/>
      <c r="AK53" s="272"/>
      <c r="AL53" s="272"/>
      <c r="AM53" s="272"/>
      <c r="AN53" s="272"/>
      <c r="AO53" s="272"/>
      <c r="AP53" s="272"/>
      <c r="AQ53" s="272"/>
      <c r="AR53" s="272"/>
      <c r="AS53" s="139">
        <v>8</v>
      </c>
      <c r="AT53" s="139">
        <v>88</v>
      </c>
      <c r="AU53" s="271">
        <v>22</v>
      </c>
      <c r="AV53" s="271"/>
      <c r="AW53" s="139">
        <v>34393</v>
      </c>
      <c r="AX53" s="139">
        <v>1698070</v>
      </c>
      <c r="AY53" s="139">
        <v>1504660</v>
      </c>
      <c r="AZ53" s="139">
        <v>193410</v>
      </c>
      <c r="BA53" s="139">
        <v>0</v>
      </c>
      <c r="BB53" s="139">
        <v>0</v>
      </c>
      <c r="BC53" s="139">
        <v>319361.99</v>
      </c>
      <c r="BD53" s="139">
        <v>2017431.99</v>
      </c>
      <c r="BE53" s="139">
        <v>0</v>
      </c>
      <c r="BF53" s="139">
        <v>0</v>
      </c>
      <c r="BG53" s="139">
        <v>286359.8</v>
      </c>
      <c r="BH53" s="139">
        <v>3470.4</v>
      </c>
      <c r="BI53" s="139">
        <v>1643.4</v>
      </c>
      <c r="BJ53" s="139">
        <v>0</v>
      </c>
      <c r="BK53" s="139">
        <v>11454.39</v>
      </c>
      <c r="BL53" s="139">
        <v>0</v>
      </c>
      <c r="BM53" s="139">
        <v>0</v>
      </c>
      <c r="BN53" s="139">
        <v>16434</v>
      </c>
      <c r="BO53" s="139">
        <v>913</v>
      </c>
      <c r="BP53" s="139">
        <v>913</v>
      </c>
    </row>
    <row r="54" spans="1:68" ht="14.45" customHeight="1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 t="s">
        <v>383</v>
      </c>
      <c r="P54" s="270"/>
      <c r="Q54" s="270"/>
      <c r="R54" s="270"/>
      <c r="S54" s="270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  <c r="AM54" s="270"/>
      <c r="AN54" s="270"/>
      <c r="AO54" s="270"/>
      <c r="AP54" s="270"/>
      <c r="AQ54" s="270"/>
      <c r="AR54" s="270"/>
      <c r="AS54" s="139">
        <v>29</v>
      </c>
      <c r="AT54" s="139">
        <v>361</v>
      </c>
      <c r="AU54" s="271">
        <v>126.36</v>
      </c>
      <c r="AV54" s="271"/>
      <c r="AW54" s="139">
        <v>265817</v>
      </c>
      <c r="AX54" s="139">
        <v>8631718.6999999993</v>
      </c>
      <c r="AY54" s="139">
        <v>7939593.2000000002</v>
      </c>
      <c r="AZ54" s="139">
        <v>692125.5</v>
      </c>
      <c r="BA54" s="139">
        <v>0</v>
      </c>
      <c r="BB54" s="139">
        <v>0</v>
      </c>
      <c r="BC54" s="139">
        <v>2902324.25</v>
      </c>
      <c r="BD54" s="139">
        <v>11534042.949999999</v>
      </c>
      <c r="BE54" s="139">
        <v>308157.78000000003</v>
      </c>
      <c r="BF54" s="139">
        <v>29428.880000000001</v>
      </c>
      <c r="BG54" s="139">
        <v>833046.68</v>
      </c>
      <c r="BH54" s="139">
        <v>25286.400000000001</v>
      </c>
      <c r="BI54" s="139">
        <v>8976.6</v>
      </c>
      <c r="BJ54" s="139">
        <v>0</v>
      </c>
      <c r="BK54" s="139">
        <v>93873.41</v>
      </c>
      <c r="BL54" s="139">
        <v>0</v>
      </c>
      <c r="BM54" s="139">
        <v>1513788.5</v>
      </c>
      <c r="BN54" s="139">
        <v>89766</v>
      </c>
      <c r="BO54" s="139">
        <v>4987</v>
      </c>
      <c r="BP54" s="139">
        <v>4987</v>
      </c>
    </row>
    <row r="55" spans="1:68" ht="14.45" customHeight="1">
      <c r="A55" s="270"/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 t="s">
        <v>333</v>
      </c>
      <c r="P55" s="270"/>
      <c r="Q55" s="270" t="s">
        <v>242</v>
      </c>
      <c r="R55" s="27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  <c r="AM55" s="270"/>
      <c r="AN55" s="270"/>
      <c r="AO55" s="270"/>
      <c r="AP55" s="270"/>
      <c r="AQ55" s="270"/>
      <c r="AR55" s="270"/>
      <c r="AS55" s="139">
        <v>20</v>
      </c>
      <c r="AT55" s="139">
        <v>96</v>
      </c>
      <c r="AU55" s="271">
        <v>21.49</v>
      </c>
      <c r="AV55" s="271"/>
      <c r="AW55" s="139">
        <v>719281</v>
      </c>
      <c r="AX55" s="139">
        <v>4786963</v>
      </c>
      <c r="AY55" s="139">
        <v>3333004</v>
      </c>
      <c r="AZ55" s="139">
        <v>1453959</v>
      </c>
      <c r="BA55" s="139">
        <v>0</v>
      </c>
      <c r="BB55" s="139">
        <v>0</v>
      </c>
      <c r="BC55" s="139">
        <v>1135688.1299999999</v>
      </c>
      <c r="BD55" s="139">
        <v>5922651.1299999999</v>
      </c>
      <c r="BE55" s="139">
        <v>163722.32999999999</v>
      </c>
      <c r="BF55" s="139">
        <v>0</v>
      </c>
      <c r="BG55" s="139">
        <v>503299.03</v>
      </c>
      <c r="BH55" s="139">
        <v>10411.200000000001</v>
      </c>
      <c r="BI55" s="139">
        <v>1675.8</v>
      </c>
      <c r="BJ55" s="139">
        <v>0</v>
      </c>
      <c r="BK55" s="139">
        <v>36273.879999999997</v>
      </c>
      <c r="BL55" s="139">
        <v>0</v>
      </c>
      <c r="BM55" s="139">
        <v>403547.89</v>
      </c>
      <c r="BN55" s="139">
        <v>16758</v>
      </c>
      <c r="BO55" s="139">
        <v>931</v>
      </c>
      <c r="BP55" s="139">
        <v>931</v>
      </c>
    </row>
    <row r="56" spans="1:68" ht="14.45" customHeight="1">
      <c r="A56" s="270"/>
      <c r="B56" s="270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 t="s">
        <v>387</v>
      </c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0"/>
      <c r="AL56" s="270"/>
      <c r="AM56" s="270"/>
      <c r="AN56" s="270"/>
      <c r="AO56" s="270"/>
      <c r="AP56" s="270"/>
      <c r="AQ56" s="270"/>
      <c r="AR56" s="270"/>
      <c r="AS56" s="139">
        <v>20</v>
      </c>
      <c r="AT56" s="139">
        <v>96</v>
      </c>
      <c r="AU56" s="271">
        <v>21.49</v>
      </c>
      <c r="AV56" s="271"/>
      <c r="AW56" s="139">
        <v>719281</v>
      </c>
      <c r="AX56" s="139">
        <v>4786963</v>
      </c>
      <c r="AY56" s="139">
        <v>3333004</v>
      </c>
      <c r="AZ56" s="139">
        <v>1453959</v>
      </c>
      <c r="BA56" s="139">
        <v>0</v>
      </c>
      <c r="BB56" s="139">
        <v>0</v>
      </c>
      <c r="BC56" s="139">
        <v>1135688.1299999999</v>
      </c>
      <c r="BD56" s="139">
        <v>5922651.1299999999</v>
      </c>
      <c r="BE56" s="139">
        <v>163722.32999999999</v>
      </c>
      <c r="BF56" s="139">
        <v>0</v>
      </c>
      <c r="BG56" s="139">
        <v>503299.03</v>
      </c>
      <c r="BH56" s="139">
        <v>10411.200000000001</v>
      </c>
      <c r="BI56" s="139">
        <v>1675.8</v>
      </c>
      <c r="BJ56" s="139">
        <v>0</v>
      </c>
      <c r="BK56" s="139">
        <v>36273.879999999997</v>
      </c>
      <c r="BL56" s="139">
        <v>0</v>
      </c>
      <c r="BM56" s="139">
        <v>403547.89</v>
      </c>
      <c r="BN56" s="139">
        <v>16758</v>
      </c>
      <c r="BO56" s="139">
        <v>931</v>
      </c>
      <c r="BP56" s="139">
        <v>931</v>
      </c>
    </row>
    <row r="57" spans="1:68" ht="14.45" customHeight="1">
      <c r="A57" s="270"/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 t="s">
        <v>516</v>
      </c>
      <c r="P57" s="270"/>
      <c r="Q57" s="270" t="s">
        <v>207</v>
      </c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139">
        <v>73</v>
      </c>
      <c r="AT57" s="139">
        <v>1810</v>
      </c>
      <c r="AU57" s="271">
        <v>271.3</v>
      </c>
      <c r="AV57" s="271"/>
      <c r="AW57" s="139">
        <v>443952</v>
      </c>
      <c r="AX57" s="139">
        <v>28654376.100000001</v>
      </c>
      <c r="AY57" s="139">
        <v>28420064.600000001</v>
      </c>
      <c r="AZ57" s="139">
        <v>234311.5</v>
      </c>
      <c r="BA57" s="139">
        <v>0</v>
      </c>
      <c r="BB57" s="139">
        <v>0</v>
      </c>
      <c r="BC57" s="139">
        <v>6075797.1900000004</v>
      </c>
      <c r="BD57" s="139">
        <v>34730173.289999999</v>
      </c>
      <c r="BE57" s="139">
        <v>870186.96</v>
      </c>
      <c r="BF57" s="139">
        <v>264859.88</v>
      </c>
      <c r="BG57" s="139">
        <v>1240892.45</v>
      </c>
      <c r="BH57" s="139">
        <v>21816</v>
      </c>
      <c r="BI57" s="139">
        <v>13626.72</v>
      </c>
      <c r="BJ57" s="139">
        <v>0</v>
      </c>
      <c r="BK57" s="139">
        <v>180256.1</v>
      </c>
      <c r="BL57" s="139">
        <v>82381.86</v>
      </c>
      <c r="BM57" s="139">
        <v>3265510.02</v>
      </c>
      <c r="BN57" s="139">
        <v>136267.20000000001</v>
      </c>
      <c r="BO57" s="139">
        <v>7570.4</v>
      </c>
      <c r="BP57" s="139">
        <v>7570.4</v>
      </c>
    </row>
    <row r="58" spans="1:68" ht="14.45" customHeight="1">
      <c r="A58" s="270"/>
      <c r="B58" s="270"/>
      <c r="C58" s="270"/>
      <c r="D58" s="270"/>
      <c r="E58" s="270"/>
      <c r="F58" s="270"/>
      <c r="G58" s="270"/>
      <c r="H58" s="270"/>
      <c r="I58" s="270"/>
      <c r="J58" s="270"/>
      <c r="K58" s="270"/>
      <c r="L58" s="270"/>
      <c r="M58" s="270"/>
      <c r="N58" s="270"/>
      <c r="O58" s="270" t="s">
        <v>525</v>
      </c>
      <c r="P58" s="270"/>
      <c r="Q58" s="270"/>
      <c r="R58" s="270"/>
      <c r="S58" s="270"/>
      <c r="T58" s="270"/>
      <c r="U58" s="270"/>
      <c r="V58" s="270"/>
      <c r="W58" s="270"/>
      <c r="X58" s="270"/>
      <c r="Y58" s="270"/>
      <c r="Z58" s="270"/>
      <c r="AA58" s="270"/>
      <c r="AB58" s="270"/>
      <c r="AC58" s="270"/>
      <c r="AD58" s="270"/>
      <c r="AE58" s="270"/>
      <c r="AF58" s="270"/>
      <c r="AG58" s="270"/>
      <c r="AH58" s="270"/>
      <c r="AI58" s="270"/>
      <c r="AJ58" s="270"/>
      <c r="AK58" s="270"/>
      <c r="AL58" s="270"/>
      <c r="AM58" s="270"/>
      <c r="AN58" s="270"/>
      <c r="AO58" s="270"/>
      <c r="AP58" s="270"/>
      <c r="AQ58" s="270"/>
      <c r="AR58" s="270"/>
      <c r="AS58" s="139">
        <v>73</v>
      </c>
      <c r="AT58" s="139">
        <v>1810</v>
      </c>
      <c r="AU58" s="271">
        <v>271.3</v>
      </c>
      <c r="AV58" s="271"/>
      <c r="AW58" s="139">
        <v>443952</v>
      </c>
      <c r="AX58" s="139">
        <v>28654376.100000001</v>
      </c>
      <c r="AY58" s="139">
        <v>28420064.600000001</v>
      </c>
      <c r="AZ58" s="139">
        <v>234311.5</v>
      </c>
      <c r="BA58" s="139">
        <v>0</v>
      </c>
      <c r="BB58" s="139">
        <v>0</v>
      </c>
      <c r="BC58" s="139">
        <v>6075797.1900000004</v>
      </c>
      <c r="BD58" s="139">
        <v>34730173.289999999</v>
      </c>
      <c r="BE58" s="139">
        <v>870186.96</v>
      </c>
      <c r="BF58" s="139">
        <v>264859.88</v>
      </c>
      <c r="BG58" s="139">
        <v>1240892.45</v>
      </c>
      <c r="BH58" s="139">
        <v>21816</v>
      </c>
      <c r="BI58" s="139">
        <v>13626.72</v>
      </c>
      <c r="BJ58" s="139">
        <v>0</v>
      </c>
      <c r="BK58" s="139">
        <v>180256.1</v>
      </c>
      <c r="BL58" s="139">
        <v>82381.86</v>
      </c>
      <c r="BM58" s="139">
        <v>3265510.02</v>
      </c>
      <c r="BN58" s="139">
        <v>136267.20000000001</v>
      </c>
      <c r="BO58" s="139">
        <v>7570.4</v>
      </c>
      <c r="BP58" s="139">
        <v>7570.4</v>
      </c>
    </row>
    <row r="59" spans="1:68" ht="14.45" customHeight="1">
      <c r="A59" s="270"/>
      <c r="B59" s="270"/>
      <c r="C59" s="270"/>
      <c r="D59" s="270"/>
      <c r="E59" s="270"/>
      <c r="F59" s="270"/>
      <c r="G59" s="270"/>
      <c r="H59" s="270"/>
      <c r="I59" s="270"/>
      <c r="J59" s="270"/>
      <c r="K59" s="270"/>
      <c r="L59" s="270"/>
      <c r="M59" s="270"/>
      <c r="N59" s="270"/>
      <c r="O59" s="270" t="s">
        <v>515</v>
      </c>
      <c r="P59" s="270"/>
      <c r="Q59" s="270" t="s">
        <v>208</v>
      </c>
      <c r="R59" s="270"/>
      <c r="S59" s="270"/>
      <c r="T59" s="270"/>
      <c r="U59" s="270"/>
      <c r="V59" s="270"/>
      <c r="W59" s="270"/>
      <c r="X59" s="270"/>
      <c r="Y59" s="270"/>
      <c r="Z59" s="270"/>
      <c r="AA59" s="270"/>
      <c r="AB59" s="270"/>
      <c r="AC59" s="270"/>
      <c r="AD59" s="270"/>
      <c r="AE59" s="270"/>
      <c r="AF59" s="270"/>
      <c r="AG59" s="270"/>
      <c r="AH59" s="270"/>
      <c r="AI59" s="270"/>
      <c r="AJ59" s="270"/>
      <c r="AK59" s="270"/>
      <c r="AL59" s="270"/>
      <c r="AM59" s="270"/>
      <c r="AN59" s="270"/>
      <c r="AO59" s="270"/>
      <c r="AP59" s="270"/>
      <c r="AQ59" s="270"/>
      <c r="AR59" s="270"/>
      <c r="AS59" s="139">
        <v>54</v>
      </c>
      <c r="AT59" s="139">
        <v>1356</v>
      </c>
      <c r="AU59" s="271">
        <v>182.37</v>
      </c>
      <c r="AV59" s="271"/>
      <c r="AW59" s="139">
        <v>153768</v>
      </c>
      <c r="AX59" s="139">
        <v>19121270.800000001</v>
      </c>
      <c r="AY59" s="139">
        <v>19121270.800000001</v>
      </c>
      <c r="AZ59" s="139">
        <v>0</v>
      </c>
      <c r="BA59" s="139">
        <v>0</v>
      </c>
      <c r="BB59" s="139">
        <v>0</v>
      </c>
      <c r="BC59" s="139">
        <v>3871702.13</v>
      </c>
      <c r="BD59" s="139">
        <v>22992972.93</v>
      </c>
      <c r="BE59" s="139">
        <v>692505.52</v>
      </c>
      <c r="BF59" s="139">
        <v>117715.5</v>
      </c>
      <c r="BG59" s="139">
        <v>1154116.76</v>
      </c>
      <c r="BH59" s="139">
        <v>21816</v>
      </c>
      <c r="BI59" s="139">
        <v>6391.8</v>
      </c>
      <c r="BJ59" s="139">
        <v>0</v>
      </c>
      <c r="BK59" s="139">
        <v>111830.89</v>
      </c>
      <c r="BL59" s="139">
        <v>61752.24</v>
      </c>
      <c r="BM59" s="139">
        <v>1641655.42</v>
      </c>
      <c r="BN59" s="139">
        <v>63918</v>
      </c>
      <c r="BO59" s="139">
        <v>3551</v>
      </c>
      <c r="BP59" s="139">
        <v>3551</v>
      </c>
    </row>
    <row r="60" spans="1:68" ht="14.45" customHeight="1">
      <c r="A60" s="270"/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 t="s">
        <v>526</v>
      </c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  <c r="AH60" s="270"/>
      <c r="AI60" s="270"/>
      <c r="AJ60" s="270"/>
      <c r="AK60" s="270"/>
      <c r="AL60" s="270"/>
      <c r="AM60" s="270"/>
      <c r="AN60" s="270"/>
      <c r="AO60" s="270"/>
      <c r="AP60" s="270"/>
      <c r="AQ60" s="270"/>
      <c r="AR60" s="270"/>
      <c r="AS60" s="139">
        <v>54</v>
      </c>
      <c r="AT60" s="139">
        <v>1356</v>
      </c>
      <c r="AU60" s="271">
        <v>182.37</v>
      </c>
      <c r="AV60" s="271"/>
      <c r="AW60" s="139">
        <v>153768</v>
      </c>
      <c r="AX60" s="139">
        <v>19121270.800000001</v>
      </c>
      <c r="AY60" s="139">
        <v>19121270.800000001</v>
      </c>
      <c r="AZ60" s="139">
        <v>0</v>
      </c>
      <c r="BA60" s="139">
        <v>0</v>
      </c>
      <c r="BB60" s="139">
        <v>0</v>
      </c>
      <c r="BC60" s="139">
        <v>3871702.13</v>
      </c>
      <c r="BD60" s="139">
        <v>22992972.93</v>
      </c>
      <c r="BE60" s="139">
        <v>692505.52</v>
      </c>
      <c r="BF60" s="139">
        <v>117715.5</v>
      </c>
      <c r="BG60" s="139">
        <v>1154116.76</v>
      </c>
      <c r="BH60" s="139">
        <v>21816</v>
      </c>
      <c r="BI60" s="139">
        <v>6391.8</v>
      </c>
      <c r="BJ60" s="139">
        <v>0</v>
      </c>
      <c r="BK60" s="139">
        <v>111830.89</v>
      </c>
      <c r="BL60" s="139">
        <v>61752.24</v>
      </c>
      <c r="BM60" s="139">
        <v>1641655.42</v>
      </c>
      <c r="BN60" s="139">
        <v>63918</v>
      </c>
      <c r="BO60" s="139">
        <v>3551</v>
      </c>
      <c r="BP60" s="139">
        <v>3551</v>
      </c>
    </row>
    <row r="61" spans="1:68" ht="14.45" customHeight="1">
      <c r="A61" s="270"/>
      <c r="B61" s="270"/>
      <c r="C61" s="270"/>
      <c r="D61" s="270"/>
      <c r="E61" s="270"/>
      <c r="F61" s="270"/>
      <c r="G61" s="270"/>
      <c r="H61" s="270"/>
      <c r="I61" s="270"/>
      <c r="J61" s="270"/>
      <c r="K61" s="270"/>
      <c r="L61" s="270"/>
      <c r="M61" s="270"/>
      <c r="N61" s="270"/>
      <c r="O61" s="270" t="s">
        <v>514</v>
      </c>
      <c r="P61" s="270"/>
      <c r="Q61" s="270" t="s">
        <v>209</v>
      </c>
      <c r="R61" s="270"/>
      <c r="S61" s="270"/>
      <c r="T61" s="270"/>
      <c r="U61" s="270"/>
      <c r="V61" s="270"/>
      <c r="W61" s="270"/>
      <c r="X61" s="270"/>
      <c r="Y61" s="270"/>
      <c r="Z61" s="270"/>
      <c r="AA61" s="270"/>
      <c r="AB61" s="270"/>
      <c r="AC61" s="270"/>
      <c r="AD61" s="270"/>
      <c r="AE61" s="270"/>
      <c r="AF61" s="270"/>
      <c r="AG61" s="270"/>
      <c r="AH61" s="270"/>
      <c r="AI61" s="270"/>
      <c r="AJ61" s="270"/>
      <c r="AK61" s="270"/>
      <c r="AL61" s="270"/>
      <c r="AM61" s="270"/>
      <c r="AN61" s="270"/>
      <c r="AO61" s="270"/>
      <c r="AP61" s="270"/>
      <c r="AQ61" s="270"/>
      <c r="AR61" s="270"/>
      <c r="AS61" s="139">
        <v>50</v>
      </c>
      <c r="AT61" s="139">
        <v>1074</v>
      </c>
      <c r="AU61" s="271">
        <v>171.89</v>
      </c>
      <c r="AV61" s="271"/>
      <c r="AW61" s="139">
        <v>734143</v>
      </c>
      <c r="AX61" s="139">
        <v>18582023.5</v>
      </c>
      <c r="AY61" s="139">
        <v>17028346</v>
      </c>
      <c r="AZ61" s="139">
        <v>1553677.5</v>
      </c>
      <c r="BA61" s="139">
        <v>0</v>
      </c>
      <c r="BB61" s="139">
        <v>0</v>
      </c>
      <c r="BC61" s="139">
        <v>5773281.4800000004</v>
      </c>
      <c r="BD61" s="139">
        <v>24355304.98</v>
      </c>
      <c r="BE61" s="139">
        <v>644059.09</v>
      </c>
      <c r="BF61" s="139">
        <v>176573.25</v>
      </c>
      <c r="BG61" s="139">
        <v>1154116.76</v>
      </c>
      <c r="BH61" s="139">
        <v>21816</v>
      </c>
      <c r="BI61" s="139">
        <v>12936.6</v>
      </c>
      <c r="BJ61" s="139">
        <v>0</v>
      </c>
      <c r="BK61" s="139">
        <v>182300.11</v>
      </c>
      <c r="BL61" s="139">
        <v>48727.8</v>
      </c>
      <c r="BM61" s="139">
        <v>3403385.87</v>
      </c>
      <c r="BN61" s="139">
        <v>129366</v>
      </c>
      <c r="BO61" s="139">
        <v>7187</v>
      </c>
      <c r="BP61" s="139">
        <v>7187</v>
      </c>
    </row>
    <row r="62" spans="1:68" ht="14.45" customHeight="1">
      <c r="A62" s="270"/>
      <c r="B62" s="270"/>
      <c r="C62" s="270"/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0"/>
      <c r="O62" s="270" t="s">
        <v>527</v>
      </c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  <c r="AA62" s="270"/>
      <c r="AB62" s="270"/>
      <c r="AC62" s="270"/>
      <c r="AD62" s="270"/>
      <c r="AE62" s="270"/>
      <c r="AF62" s="270"/>
      <c r="AG62" s="270"/>
      <c r="AH62" s="270"/>
      <c r="AI62" s="270"/>
      <c r="AJ62" s="270"/>
      <c r="AK62" s="270"/>
      <c r="AL62" s="270"/>
      <c r="AM62" s="270"/>
      <c r="AN62" s="270"/>
      <c r="AO62" s="270"/>
      <c r="AP62" s="270"/>
      <c r="AQ62" s="270"/>
      <c r="AR62" s="270"/>
      <c r="AS62" s="139">
        <v>50</v>
      </c>
      <c r="AT62" s="139">
        <v>1074</v>
      </c>
      <c r="AU62" s="271">
        <v>171.89</v>
      </c>
      <c r="AV62" s="271"/>
      <c r="AW62" s="139">
        <v>734143</v>
      </c>
      <c r="AX62" s="139">
        <v>18582023.5</v>
      </c>
      <c r="AY62" s="139">
        <v>17028346</v>
      </c>
      <c r="AZ62" s="139">
        <v>1553677.5</v>
      </c>
      <c r="BA62" s="139">
        <v>0</v>
      </c>
      <c r="BB62" s="139">
        <v>0</v>
      </c>
      <c r="BC62" s="139">
        <v>5773281.4800000004</v>
      </c>
      <c r="BD62" s="139">
        <v>24355304.98</v>
      </c>
      <c r="BE62" s="139">
        <v>644059.09</v>
      </c>
      <c r="BF62" s="139">
        <v>176573.25</v>
      </c>
      <c r="BG62" s="139">
        <v>1154116.76</v>
      </c>
      <c r="BH62" s="139">
        <v>21816</v>
      </c>
      <c r="BI62" s="139">
        <v>12936.6</v>
      </c>
      <c r="BJ62" s="139">
        <v>0</v>
      </c>
      <c r="BK62" s="139">
        <v>182300.11</v>
      </c>
      <c r="BL62" s="139">
        <v>48727.8</v>
      </c>
      <c r="BM62" s="139">
        <v>3403385.87</v>
      </c>
      <c r="BN62" s="139">
        <v>129366</v>
      </c>
      <c r="BO62" s="139">
        <v>7187</v>
      </c>
      <c r="BP62" s="139">
        <v>7187</v>
      </c>
    </row>
    <row r="63" spans="1:68" ht="14.45" customHeight="1">
      <c r="A63" s="270"/>
      <c r="B63" s="270"/>
      <c r="C63" s="270"/>
      <c r="D63" s="270"/>
      <c r="E63" s="270"/>
      <c r="F63" s="270"/>
      <c r="G63" s="270"/>
      <c r="H63" s="270"/>
      <c r="I63" s="270"/>
      <c r="J63" s="270"/>
      <c r="K63" s="270"/>
      <c r="L63" s="270"/>
      <c r="M63" s="270"/>
      <c r="N63" s="270"/>
      <c r="O63" s="270" t="s">
        <v>513</v>
      </c>
      <c r="P63" s="270"/>
      <c r="Q63" s="270" t="s">
        <v>189</v>
      </c>
      <c r="R63" s="270"/>
      <c r="S63" s="270"/>
      <c r="T63" s="270"/>
      <c r="U63" s="270"/>
      <c r="V63" s="270"/>
      <c r="W63" s="270"/>
      <c r="X63" s="270"/>
      <c r="Y63" s="270"/>
      <c r="Z63" s="270"/>
      <c r="AA63" s="270"/>
      <c r="AB63" s="270"/>
      <c r="AC63" s="270"/>
      <c r="AD63" s="270"/>
      <c r="AE63" s="270"/>
      <c r="AF63" s="270"/>
      <c r="AG63" s="270"/>
      <c r="AH63" s="270"/>
      <c r="AI63" s="270"/>
      <c r="AJ63" s="270"/>
      <c r="AK63" s="270"/>
      <c r="AL63" s="270"/>
      <c r="AM63" s="270"/>
      <c r="AN63" s="270"/>
      <c r="AO63" s="270"/>
      <c r="AP63" s="270"/>
      <c r="AQ63" s="270"/>
      <c r="AR63" s="270"/>
      <c r="AS63" s="139">
        <v>23</v>
      </c>
      <c r="AT63" s="139">
        <v>139</v>
      </c>
      <c r="AU63" s="271">
        <v>61</v>
      </c>
      <c r="AV63" s="271"/>
      <c r="AW63" s="139">
        <v>229329</v>
      </c>
      <c r="AX63" s="139">
        <v>5408630</v>
      </c>
      <c r="AY63" s="139">
        <v>3172808</v>
      </c>
      <c r="AZ63" s="139">
        <v>2235822</v>
      </c>
      <c r="BA63" s="139">
        <v>0</v>
      </c>
      <c r="BB63" s="139">
        <v>0</v>
      </c>
      <c r="BC63" s="139">
        <v>2283751.6800000002</v>
      </c>
      <c r="BD63" s="139">
        <v>7692381.6799999997</v>
      </c>
      <c r="BE63" s="139">
        <v>184008.85</v>
      </c>
      <c r="BF63" s="139">
        <v>24720.26</v>
      </c>
      <c r="BG63" s="139">
        <v>546686.88</v>
      </c>
      <c r="BH63" s="139">
        <v>21816</v>
      </c>
      <c r="BI63" s="139">
        <v>3864.6</v>
      </c>
      <c r="BJ63" s="139">
        <v>0</v>
      </c>
      <c r="BK63" s="139">
        <v>77334.460000000006</v>
      </c>
      <c r="BL63" s="139">
        <v>0</v>
      </c>
      <c r="BM63" s="139">
        <v>1386674.63</v>
      </c>
      <c r="BN63" s="139">
        <v>38646</v>
      </c>
      <c r="BO63" s="139">
        <v>2147</v>
      </c>
      <c r="BP63" s="139">
        <v>2147</v>
      </c>
    </row>
    <row r="64" spans="1:68" ht="14.45" customHeight="1">
      <c r="A64" s="270"/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 t="s">
        <v>528</v>
      </c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270"/>
      <c r="AI64" s="270"/>
      <c r="AJ64" s="270"/>
      <c r="AK64" s="270"/>
      <c r="AL64" s="270"/>
      <c r="AM64" s="270"/>
      <c r="AN64" s="270"/>
      <c r="AO64" s="270"/>
      <c r="AP64" s="270"/>
      <c r="AQ64" s="270"/>
      <c r="AR64" s="270"/>
      <c r="AS64" s="139">
        <v>23</v>
      </c>
      <c r="AT64" s="139">
        <v>139</v>
      </c>
      <c r="AU64" s="271">
        <v>61</v>
      </c>
      <c r="AV64" s="271"/>
      <c r="AW64" s="139">
        <v>229329</v>
      </c>
      <c r="AX64" s="139">
        <v>5408630</v>
      </c>
      <c r="AY64" s="139">
        <v>3172808</v>
      </c>
      <c r="AZ64" s="139">
        <v>2235822</v>
      </c>
      <c r="BA64" s="139">
        <v>0</v>
      </c>
      <c r="BB64" s="139">
        <v>0</v>
      </c>
      <c r="BC64" s="139">
        <v>2283751.6800000002</v>
      </c>
      <c r="BD64" s="139">
        <v>7692381.6799999997</v>
      </c>
      <c r="BE64" s="139">
        <v>184008.85</v>
      </c>
      <c r="BF64" s="139">
        <v>24720.26</v>
      </c>
      <c r="BG64" s="139">
        <v>546686.88</v>
      </c>
      <c r="BH64" s="139">
        <v>21816</v>
      </c>
      <c r="BI64" s="139">
        <v>3864.6</v>
      </c>
      <c r="BJ64" s="139">
        <v>0</v>
      </c>
      <c r="BK64" s="139">
        <v>77334.460000000006</v>
      </c>
      <c r="BL64" s="139">
        <v>0</v>
      </c>
      <c r="BM64" s="139">
        <v>1386674.63</v>
      </c>
      <c r="BN64" s="139">
        <v>38646</v>
      </c>
      <c r="BO64" s="139">
        <v>2147</v>
      </c>
      <c r="BP64" s="139">
        <v>2147</v>
      </c>
    </row>
    <row r="65" spans="1:68" ht="14.45" customHeight="1">
      <c r="A65" s="270"/>
      <c r="B65" s="270"/>
      <c r="C65" s="270"/>
      <c r="D65" s="270"/>
      <c r="E65" s="270"/>
      <c r="F65" s="270"/>
      <c r="G65" s="270"/>
      <c r="H65" s="270"/>
      <c r="I65" s="270"/>
      <c r="J65" s="270"/>
      <c r="K65" s="270"/>
      <c r="L65" s="270"/>
      <c r="M65" s="270"/>
      <c r="N65" s="270"/>
      <c r="O65" s="270" t="s">
        <v>512</v>
      </c>
      <c r="P65" s="270"/>
      <c r="Q65" s="270" t="s">
        <v>214</v>
      </c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  <c r="AH65" s="270"/>
      <c r="AI65" s="270"/>
      <c r="AJ65" s="270"/>
      <c r="AK65" s="270"/>
      <c r="AL65" s="270"/>
      <c r="AM65" s="270"/>
      <c r="AN65" s="270"/>
      <c r="AO65" s="270"/>
      <c r="AP65" s="270"/>
      <c r="AQ65" s="270"/>
      <c r="AR65" s="270"/>
      <c r="AS65" s="139">
        <v>23</v>
      </c>
      <c r="AT65" s="139">
        <v>178</v>
      </c>
      <c r="AU65" s="271">
        <v>77.3</v>
      </c>
      <c r="AV65" s="271"/>
      <c r="AW65" s="139">
        <v>231424</v>
      </c>
      <c r="AX65" s="139">
        <v>5885190.5</v>
      </c>
      <c r="AY65" s="139">
        <v>4025803</v>
      </c>
      <c r="AZ65" s="139">
        <v>1859387.5</v>
      </c>
      <c r="BA65" s="139">
        <v>0</v>
      </c>
      <c r="BB65" s="139">
        <v>0</v>
      </c>
      <c r="BC65" s="139">
        <v>1727359.32</v>
      </c>
      <c r="BD65" s="139">
        <v>7612549.8200000003</v>
      </c>
      <c r="BE65" s="139">
        <v>238187.57</v>
      </c>
      <c r="BF65" s="139">
        <v>28251.72</v>
      </c>
      <c r="BG65" s="139">
        <v>546686.88</v>
      </c>
      <c r="BH65" s="139">
        <v>21816</v>
      </c>
      <c r="BI65" s="139">
        <v>5344.2</v>
      </c>
      <c r="BJ65" s="139">
        <v>0</v>
      </c>
      <c r="BK65" s="139">
        <v>53089.15</v>
      </c>
      <c r="BL65" s="139">
        <v>0</v>
      </c>
      <c r="BM65" s="139">
        <v>780541.8</v>
      </c>
      <c r="BN65" s="139">
        <v>53442</v>
      </c>
      <c r="BO65" s="139">
        <v>2969</v>
      </c>
      <c r="BP65" s="139">
        <v>2969</v>
      </c>
    </row>
    <row r="66" spans="1:68" ht="14.45" customHeight="1">
      <c r="A66" s="270"/>
      <c r="B66" s="270"/>
      <c r="C66" s="270"/>
      <c r="D66" s="270"/>
      <c r="E66" s="270"/>
      <c r="F66" s="270"/>
      <c r="G66" s="270"/>
      <c r="H66" s="270"/>
      <c r="I66" s="270"/>
      <c r="J66" s="270"/>
      <c r="K66" s="270"/>
      <c r="L66" s="270"/>
      <c r="M66" s="270"/>
      <c r="N66" s="270"/>
      <c r="O66" s="270" t="s">
        <v>529</v>
      </c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  <c r="AH66" s="270"/>
      <c r="AI66" s="270"/>
      <c r="AJ66" s="270"/>
      <c r="AK66" s="270"/>
      <c r="AL66" s="270"/>
      <c r="AM66" s="270"/>
      <c r="AN66" s="270"/>
      <c r="AO66" s="270"/>
      <c r="AP66" s="270"/>
      <c r="AQ66" s="270"/>
      <c r="AR66" s="270"/>
      <c r="AS66" s="139">
        <v>23</v>
      </c>
      <c r="AT66" s="139">
        <v>178</v>
      </c>
      <c r="AU66" s="271">
        <v>77.3</v>
      </c>
      <c r="AV66" s="271"/>
      <c r="AW66" s="139">
        <v>231424</v>
      </c>
      <c r="AX66" s="139">
        <v>5885190.5</v>
      </c>
      <c r="AY66" s="139">
        <v>4025803</v>
      </c>
      <c r="AZ66" s="139">
        <v>1859387.5</v>
      </c>
      <c r="BA66" s="139">
        <v>0</v>
      </c>
      <c r="BB66" s="139">
        <v>0</v>
      </c>
      <c r="BC66" s="139">
        <v>1727359.32</v>
      </c>
      <c r="BD66" s="139">
        <v>7612549.8200000003</v>
      </c>
      <c r="BE66" s="139">
        <v>238187.57</v>
      </c>
      <c r="BF66" s="139">
        <v>28251.72</v>
      </c>
      <c r="BG66" s="139">
        <v>546686.88</v>
      </c>
      <c r="BH66" s="139">
        <v>21816</v>
      </c>
      <c r="BI66" s="139">
        <v>5344.2</v>
      </c>
      <c r="BJ66" s="139">
        <v>0</v>
      </c>
      <c r="BK66" s="139">
        <v>53089.15</v>
      </c>
      <c r="BL66" s="139">
        <v>0</v>
      </c>
      <c r="BM66" s="139">
        <v>780541.8</v>
      </c>
      <c r="BN66" s="139">
        <v>53442</v>
      </c>
      <c r="BO66" s="139">
        <v>2969</v>
      </c>
      <c r="BP66" s="139">
        <v>2969</v>
      </c>
    </row>
    <row r="67" spans="1:68" ht="14.45" customHeight="1">
      <c r="A67" s="270"/>
      <c r="B67" s="270"/>
      <c r="C67" s="270"/>
      <c r="D67" s="270"/>
      <c r="E67" s="270"/>
      <c r="F67" s="270"/>
      <c r="G67" s="270"/>
      <c r="H67" s="270"/>
      <c r="I67" s="270"/>
      <c r="J67" s="270"/>
      <c r="K67" s="270"/>
      <c r="L67" s="270"/>
      <c r="M67" s="270"/>
      <c r="N67" s="270"/>
      <c r="O67" s="270" t="s">
        <v>511</v>
      </c>
      <c r="P67" s="270"/>
      <c r="Q67" s="270" t="s">
        <v>215</v>
      </c>
      <c r="R67" s="270"/>
      <c r="S67" s="270"/>
      <c r="T67" s="270"/>
      <c r="U67" s="270"/>
      <c r="V67" s="270"/>
      <c r="W67" s="270"/>
      <c r="X67" s="270"/>
      <c r="Y67" s="270"/>
      <c r="Z67" s="270"/>
      <c r="AA67" s="270"/>
      <c r="AB67" s="270"/>
      <c r="AC67" s="270"/>
      <c r="AD67" s="270"/>
      <c r="AE67" s="270"/>
      <c r="AF67" s="270"/>
      <c r="AG67" s="270"/>
      <c r="AH67" s="270"/>
      <c r="AI67" s="270"/>
      <c r="AJ67" s="270"/>
      <c r="AK67" s="270"/>
      <c r="AL67" s="270"/>
      <c r="AM67" s="270"/>
      <c r="AN67" s="270"/>
      <c r="AO67" s="270"/>
      <c r="AP67" s="270"/>
      <c r="AQ67" s="270"/>
      <c r="AR67" s="270"/>
      <c r="AS67" s="139">
        <v>22</v>
      </c>
      <c r="AT67" s="139">
        <v>186</v>
      </c>
      <c r="AU67" s="271">
        <v>50</v>
      </c>
      <c r="AV67" s="271"/>
      <c r="AW67" s="139">
        <v>152229</v>
      </c>
      <c r="AX67" s="139">
        <v>6010636</v>
      </c>
      <c r="AY67" s="139">
        <v>4603804</v>
      </c>
      <c r="AZ67" s="139">
        <v>1406832</v>
      </c>
      <c r="BA67" s="139">
        <v>0</v>
      </c>
      <c r="BB67" s="139">
        <v>0</v>
      </c>
      <c r="BC67" s="139">
        <v>2296393.4300000002</v>
      </c>
      <c r="BD67" s="139">
        <v>8307029.4299999997</v>
      </c>
      <c r="BE67" s="139">
        <v>238187.57</v>
      </c>
      <c r="BF67" s="139">
        <v>0</v>
      </c>
      <c r="BG67" s="139">
        <v>546686.88</v>
      </c>
      <c r="BH67" s="139">
        <v>21816</v>
      </c>
      <c r="BI67" s="139">
        <v>4318.2</v>
      </c>
      <c r="BJ67" s="139">
        <v>0</v>
      </c>
      <c r="BK67" s="139">
        <v>76495.759999999995</v>
      </c>
      <c r="BL67" s="139">
        <v>0</v>
      </c>
      <c r="BM67" s="139">
        <v>1365707.02</v>
      </c>
      <c r="BN67" s="139">
        <v>43182</v>
      </c>
      <c r="BO67" s="139">
        <v>2399</v>
      </c>
      <c r="BP67" s="139">
        <v>2399</v>
      </c>
    </row>
    <row r="68" spans="1:68" ht="14.45" customHeight="1">
      <c r="A68" s="270"/>
      <c r="B68" s="270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 t="s">
        <v>530</v>
      </c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270"/>
      <c r="AE68" s="270"/>
      <c r="AF68" s="270"/>
      <c r="AG68" s="270"/>
      <c r="AH68" s="270"/>
      <c r="AI68" s="270"/>
      <c r="AJ68" s="270"/>
      <c r="AK68" s="270"/>
      <c r="AL68" s="270"/>
      <c r="AM68" s="270"/>
      <c r="AN68" s="270"/>
      <c r="AO68" s="270"/>
      <c r="AP68" s="270"/>
      <c r="AQ68" s="270"/>
      <c r="AR68" s="270"/>
      <c r="AS68" s="139">
        <v>22</v>
      </c>
      <c r="AT68" s="139">
        <v>186</v>
      </c>
      <c r="AU68" s="271">
        <v>50</v>
      </c>
      <c r="AV68" s="271"/>
      <c r="AW68" s="139">
        <v>152229</v>
      </c>
      <c r="AX68" s="139">
        <v>6010636</v>
      </c>
      <c r="AY68" s="139">
        <v>4603804</v>
      </c>
      <c r="AZ68" s="139">
        <v>1406832</v>
      </c>
      <c r="BA68" s="139">
        <v>0</v>
      </c>
      <c r="BB68" s="139">
        <v>0</v>
      </c>
      <c r="BC68" s="139">
        <v>2296393.4300000002</v>
      </c>
      <c r="BD68" s="139">
        <v>8307029.4299999997</v>
      </c>
      <c r="BE68" s="139">
        <v>238187.57</v>
      </c>
      <c r="BF68" s="139">
        <v>0</v>
      </c>
      <c r="BG68" s="139">
        <v>546686.88</v>
      </c>
      <c r="BH68" s="139">
        <v>21816</v>
      </c>
      <c r="BI68" s="139">
        <v>4318.2</v>
      </c>
      <c r="BJ68" s="139">
        <v>0</v>
      </c>
      <c r="BK68" s="139">
        <v>76495.759999999995</v>
      </c>
      <c r="BL68" s="139">
        <v>0</v>
      </c>
      <c r="BM68" s="139">
        <v>1365707.02</v>
      </c>
      <c r="BN68" s="139">
        <v>43182</v>
      </c>
      <c r="BO68" s="139">
        <v>2399</v>
      </c>
      <c r="BP68" s="139">
        <v>2399</v>
      </c>
    </row>
    <row r="69" spans="1:68" ht="14.45" customHeight="1">
      <c r="A69" s="270"/>
      <c r="B69" s="270"/>
      <c r="C69" s="270"/>
      <c r="D69" s="270"/>
      <c r="E69" s="270"/>
      <c r="F69" s="270"/>
      <c r="G69" s="270"/>
      <c r="H69" s="270"/>
      <c r="I69" s="270"/>
      <c r="J69" s="270"/>
      <c r="K69" s="270"/>
      <c r="L69" s="270"/>
      <c r="M69" s="270"/>
      <c r="N69" s="270"/>
      <c r="O69" s="270" t="s">
        <v>510</v>
      </c>
      <c r="P69" s="270"/>
      <c r="Q69" s="270" t="s">
        <v>211</v>
      </c>
      <c r="R69" s="270"/>
      <c r="S69" s="270"/>
      <c r="T69" s="270"/>
      <c r="U69" s="270"/>
      <c r="V69" s="270"/>
      <c r="W69" s="270"/>
      <c r="X69" s="270"/>
      <c r="Y69" s="270"/>
      <c r="Z69" s="270"/>
      <c r="AA69" s="270"/>
      <c r="AB69" s="270"/>
      <c r="AC69" s="270"/>
      <c r="AD69" s="270"/>
      <c r="AE69" s="270"/>
      <c r="AF69" s="270"/>
      <c r="AG69" s="270"/>
      <c r="AH69" s="270"/>
      <c r="AI69" s="270"/>
      <c r="AJ69" s="270"/>
      <c r="AK69" s="270"/>
      <c r="AL69" s="270"/>
      <c r="AM69" s="270"/>
      <c r="AN69" s="270"/>
      <c r="AO69" s="270"/>
      <c r="AP69" s="270"/>
      <c r="AQ69" s="270"/>
      <c r="AR69" s="270"/>
      <c r="AS69" s="139">
        <v>23</v>
      </c>
      <c r="AT69" s="139">
        <v>137</v>
      </c>
      <c r="AU69" s="271">
        <v>53</v>
      </c>
      <c r="AV69" s="271"/>
      <c r="AW69" s="139">
        <v>231424</v>
      </c>
      <c r="AX69" s="139">
        <v>5500209</v>
      </c>
      <c r="AY69" s="139">
        <v>3368880</v>
      </c>
      <c r="AZ69" s="139">
        <v>2131329</v>
      </c>
      <c r="BA69" s="139">
        <v>0</v>
      </c>
      <c r="BB69" s="139">
        <v>0</v>
      </c>
      <c r="BC69" s="139">
        <v>1716100.18</v>
      </c>
      <c r="BD69" s="139">
        <v>7216309.1799999997</v>
      </c>
      <c r="BE69" s="139">
        <v>178615.13</v>
      </c>
      <c r="BF69" s="139">
        <v>32960.339999999997</v>
      </c>
      <c r="BG69" s="139">
        <v>546686.88</v>
      </c>
      <c r="BH69" s="139">
        <v>21816</v>
      </c>
      <c r="BI69" s="139">
        <v>3184.2</v>
      </c>
      <c r="BJ69" s="139">
        <v>0</v>
      </c>
      <c r="BK69" s="139">
        <v>55680.1</v>
      </c>
      <c r="BL69" s="139">
        <v>0</v>
      </c>
      <c r="BM69" s="139">
        <v>845315.53</v>
      </c>
      <c r="BN69" s="139">
        <v>31842</v>
      </c>
      <c r="BO69" s="139">
        <v>1769</v>
      </c>
      <c r="BP69" s="139">
        <v>1769</v>
      </c>
    </row>
    <row r="70" spans="1:68" ht="14.45" customHeight="1">
      <c r="A70" s="270"/>
      <c r="B70" s="270"/>
      <c r="C70" s="270"/>
      <c r="D70" s="270"/>
      <c r="E70" s="270"/>
      <c r="F70" s="270"/>
      <c r="G70" s="270"/>
      <c r="H70" s="270"/>
      <c r="I70" s="270"/>
      <c r="J70" s="270"/>
      <c r="K70" s="270"/>
      <c r="L70" s="270"/>
      <c r="M70" s="270"/>
      <c r="N70" s="270"/>
      <c r="O70" s="270" t="s">
        <v>531</v>
      </c>
      <c r="P70" s="270"/>
      <c r="Q70" s="270"/>
      <c r="R70" s="270"/>
      <c r="S70" s="270"/>
      <c r="T70" s="270"/>
      <c r="U70" s="270"/>
      <c r="V70" s="270"/>
      <c r="W70" s="270"/>
      <c r="X70" s="270"/>
      <c r="Y70" s="270"/>
      <c r="Z70" s="270"/>
      <c r="AA70" s="270"/>
      <c r="AB70" s="270"/>
      <c r="AC70" s="270"/>
      <c r="AD70" s="270"/>
      <c r="AE70" s="270"/>
      <c r="AF70" s="270"/>
      <c r="AG70" s="270"/>
      <c r="AH70" s="270"/>
      <c r="AI70" s="270"/>
      <c r="AJ70" s="270"/>
      <c r="AK70" s="270"/>
      <c r="AL70" s="270"/>
      <c r="AM70" s="270"/>
      <c r="AN70" s="270"/>
      <c r="AO70" s="270"/>
      <c r="AP70" s="270"/>
      <c r="AQ70" s="270"/>
      <c r="AR70" s="270"/>
      <c r="AS70" s="139">
        <v>23</v>
      </c>
      <c r="AT70" s="139">
        <v>137</v>
      </c>
      <c r="AU70" s="271">
        <v>53</v>
      </c>
      <c r="AV70" s="271"/>
      <c r="AW70" s="139">
        <v>231424</v>
      </c>
      <c r="AX70" s="139">
        <v>5500209</v>
      </c>
      <c r="AY70" s="139">
        <v>3368880</v>
      </c>
      <c r="AZ70" s="139">
        <v>2131329</v>
      </c>
      <c r="BA70" s="139">
        <v>0</v>
      </c>
      <c r="BB70" s="139">
        <v>0</v>
      </c>
      <c r="BC70" s="139">
        <v>1716100.18</v>
      </c>
      <c r="BD70" s="139">
        <v>7216309.1799999997</v>
      </c>
      <c r="BE70" s="139">
        <v>178615.13</v>
      </c>
      <c r="BF70" s="139">
        <v>32960.339999999997</v>
      </c>
      <c r="BG70" s="139">
        <v>546686.88</v>
      </c>
      <c r="BH70" s="139">
        <v>21816</v>
      </c>
      <c r="BI70" s="139">
        <v>3184.2</v>
      </c>
      <c r="BJ70" s="139">
        <v>0</v>
      </c>
      <c r="BK70" s="139">
        <v>55680.1</v>
      </c>
      <c r="BL70" s="139">
        <v>0</v>
      </c>
      <c r="BM70" s="139">
        <v>845315.53</v>
      </c>
      <c r="BN70" s="139">
        <v>31842</v>
      </c>
      <c r="BO70" s="139">
        <v>1769</v>
      </c>
      <c r="BP70" s="139">
        <v>1769</v>
      </c>
    </row>
    <row r="71" spans="1:68" ht="14.45" customHeight="1">
      <c r="A71" s="270"/>
      <c r="B71" s="270"/>
      <c r="C71" s="270"/>
      <c r="D71" s="270"/>
      <c r="E71" s="270"/>
      <c r="F71" s="270"/>
      <c r="G71" s="270"/>
      <c r="H71" s="270"/>
      <c r="I71" s="270"/>
      <c r="J71" s="270"/>
      <c r="K71" s="270"/>
      <c r="L71" s="270"/>
      <c r="M71" s="270"/>
      <c r="N71" s="270"/>
      <c r="O71" s="270" t="s">
        <v>509</v>
      </c>
      <c r="P71" s="270"/>
      <c r="Q71" s="270" t="s">
        <v>212</v>
      </c>
      <c r="R71" s="270"/>
      <c r="S71" s="270"/>
      <c r="T71" s="270"/>
      <c r="U71" s="270"/>
      <c r="V71" s="270"/>
      <c r="W71" s="270"/>
      <c r="X71" s="270"/>
      <c r="Y71" s="270"/>
      <c r="Z71" s="270"/>
      <c r="AA71" s="270"/>
      <c r="AB71" s="270"/>
      <c r="AC71" s="270"/>
      <c r="AD71" s="270"/>
      <c r="AE71" s="270"/>
      <c r="AF71" s="270"/>
      <c r="AG71" s="270"/>
      <c r="AH71" s="270"/>
      <c r="AI71" s="270"/>
      <c r="AJ71" s="270"/>
      <c r="AK71" s="270"/>
      <c r="AL71" s="270"/>
      <c r="AM71" s="270"/>
      <c r="AN71" s="270"/>
      <c r="AO71" s="270"/>
      <c r="AP71" s="270"/>
      <c r="AQ71" s="270"/>
      <c r="AR71" s="270"/>
      <c r="AS71" s="139">
        <v>23</v>
      </c>
      <c r="AT71" s="139">
        <v>241</v>
      </c>
      <c r="AU71" s="271">
        <v>78.900000000000006</v>
      </c>
      <c r="AV71" s="271"/>
      <c r="AW71" s="139">
        <v>231424</v>
      </c>
      <c r="AX71" s="139">
        <v>6590345</v>
      </c>
      <c r="AY71" s="139">
        <v>5392927</v>
      </c>
      <c r="AZ71" s="139">
        <v>1197418</v>
      </c>
      <c r="BA71" s="139">
        <v>0</v>
      </c>
      <c r="BB71" s="139">
        <v>0</v>
      </c>
      <c r="BC71" s="139">
        <v>2353949.7400000002</v>
      </c>
      <c r="BD71" s="139">
        <v>8944294.7400000002</v>
      </c>
      <c r="BE71" s="139">
        <v>168123.93</v>
      </c>
      <c r="BF71" s="139">
        <v>29428.880000000001</v>
      </c>
      <c r="BG71" s="139">
        <v>546686.88</v>
      </c>
      <c r="BH71" s="139">
        <v>21816</v>
      </c>
      <c r="BI71" s="139">
        <v>2478.6</v>
      </c>
      <c r="BJ71" s="139">
        <v>0</v>
      </c>
      <c r="BK71" s="139">
        <v>81050.63</v>
      </c>
      <c r="BL71" s="139">
        <v>0</v>
      </c>
      <c r="BM71" s="139">
        <v>1479578.82</v>
      </c>
      <c r="BN71" s="139">
        <v>24786</v>
      </c>
      <c r="BO71" s="139">
        <v>1377</v>
      </c>
      <c r="BP71" s="139">
        <v>1377</v>
      </c>
    </row>
    <row r="72" spans="1:68" ht="14.45" customHeight="1">
      <c r="A72" s="270"/>
      <c r="B72" s="270"/>
      <c r="C72" s="270"/>
      <c r="D72" s="270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 t="s">
        <v>532</v>
      </c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  <c r="AH72" s="270"/>
      <c r="AI72" s="270"/>
      <c r="AJ72" s="270"/>
      <c r="AK72" s="270"/>
      <c r="AL72" s="270"/>
      <c r="AM72" s="270"/>
      <c r="AN72" s="270"/>
      <c r="AO72" s="270"/>
      <c r="AP72" s="270"/>
      <c r="AQ72" s="270"/>
      <c r="AR72" s="270"/>
      <c r="AS72" s="139">
        <v>23</v>
      </c>
      <c r="AT72" s="139">
        <v>241</v>
      </c>
      <c r="AU72" s="271">
        <v>78.900000000000006</v>
      </c>
      <c r="AV72" s="271"/>
      <c r="AW72" s="139">
        <v>231424</v>
      </c>
      <c r="AX72" s="139">
        <v>6590345</v>
      </c>
      <c r="AY72" s="139">
        <v>5392927</v>
      </c>
      <c r="AZ72" s="139">
        <v>1197418</v>
      </c>
      <c r="BA72" s="139">
        <v>0</v>
      </c>
      <c r="BB72" s="139">
        <v>0</v>
      </c>
      <c r="BC72" s="139">
        <v>2353949.7400000002</v>
      </c>
      <c r="BD72" s="139">
        <v>8944294.7400000002</v>
      </c>
      <c r="BE72" s="139">
        <v>168123.93</v>
      </c>
      <c r="BF72" s="139">
        <v>29428.880000000001</v>
      </c>
      <c r="BG72" s="139">
        <v>546686.88</v>
      </c>
      <c r="BH72" s="139">
        <v>21816</v>
      </c>
      <c r="BI72" s="139">
        <v>2478.6</v>
      </c>
      <c r="BJ72" s="139">
        <v>0</v>
      </c>
      <c r="BK72" s="139">
        <v>81050.63</v>
      </c>
      <c r="BL72" s="139">
        <v>0</v>
      </c>
      <c r="BM72" s="139">
        <v>1479578.82</v>
      </c>
      <c r="BN72" s="139">
        <v>24786</v>
      </c>
      <c r="BO72" s="139">
        <v>1377</v>
      </c>
      <c r="BP72" s="139">
        <v>1377</v>
      </c>
    </row>
    <row r="73" spans="1:68" ht="14.45" customHeight="1">
      <c r="A73" s="270"/>
      <c r="B73" s="270"/>
      <c r="C73" s="270"/>
      <c r="D73" s="270"/>
      <c r="E73" s="270"/>
      <c r="F73" s="270"/>
      <c r="G73" s="270"/>
      <c r="H73" s="270"/>
      <c r="I73" s="270"/>
      <c r="J73" s="270"/>
      <c r="K73" s="270"/>
      <c r="L73" s="270"/>
      <c r="M73" s="270"/>
      <c r="N73" s="270"/>
      <c r="O73" s="270" t="s">
        <v>508</v>
      </c>
      <c r="P73" s="270"/>
      <c r="Q73" s="270" t="s">
        <v>232</v>
      </c>
      <c r="R73" s="270"/>
      <c r="S73" s="270"/>
      <c r="T73" s="270"/>
      <c r="U73" s="270"/>
      <c r="V73" s="270"/>
      <c r="W73" s="270"/>
      <c r="X73" s="270"/>
      <c r="Y73" s="270"/>
      <c r="Z73" s="270"/>
      <c r="AA73" s="270"/>
      <c r="AB73" s="270"/>
      <c r="AC73" s="270"/>
      <c r="AD73" s="270"/>
      <c r="AE73" s="270"/>
      <c r="AF73" s="270"/>
      <c r="AG73" s="270"/>
      <c r="AH73" s="270"/>
      <c r="AI73" s="270"/>
      <c r="AJ73" s="270"/>
      <c r="AK73" s="270"/>
      <c r="AL73" s="270"/>
      <c r="AM73" s="270"/>
      <c r="AN73" s="270"/>
      <c r="AO73" s="270"/>
      <c r="AP73" s="270"/>
      <c r="AQ73" s="270"/>
      <c r="AR73" s="270"/>
      <c r="AS73" s="139">
        <v>45</v>
      </c>
      <c r="AT73" s="139">
        <v>848</v>
      </c>
      <c r="AU73" s="271">
        <v>149.97</v>
      </c>
      <c r="AV73" s="271"/>
      <c r="AW73" s="139">
        <v>390143</v>
      </c>
      <c r="AX73" s="139">
        <v>15875761.199999999</v>
      </c>
      <c r="AY73" s="139">
        <v>15875761.199999999</v>
      </c>
      <c r="AZ73" s="139">
        <v>0</v>
      </c>
      <c r="BA73" s="139">
        <v>0</v>
      </c>
      <c r="BB73" s="139">
        <v>0</v>
      </c>
      <c r="BC73" s="139">
        <v>4391002.33</v>
      </c>
      <c r="BD73" s="139">
        <v>20266763.530000001</v>
      </c>
      <c r="BE73" s="139">
        <v>546066.92000000004</v>
      </c>
      <c r="BF73" s="139">
        <v>88286.63</v>
      </c>
      <c r="BG73" s="139">
        <v>980565.36</v>
      </c>
      <c r="BH73" s="139">
        <v>21816</v>
      </c>
      <c r="BI73" s="139">
        <v>10180.620000000001</v>
      </c>
      <c r="BJ73" s="139">
        <v>0</v>
      </c>
      <c r="BK73" s="139">
        <v>137856.68</v>
      </c>
      <c r="BL73" s="139">
        <v>38572.379999999997</v>
      </c>
      <c r="BM73" s="139">
        <v>2465851.54</v>
      </c>
      <c r="BN73" s="139">
        <v>101806.2</v>
      </c>
      <c r="BO73" s="139">
        <v>5655.9</v>
      </c>
      <c r="BP73" s="139">
        <v>5655.9</v>
      </c>
    </row>
    <row r="74" spans="1:68" ht="14.45" customHeight="1">
      <c r="A74" s="270"/>
      <c r="B74" s="270"/>
      <c r="C74" s="270"/>
      <c r="D74" s="270"/>
      <c r="E74" s="270"/>
      <c r="F74" s="270"/>
      <c r="G74" s="270"/>
      <c r="H74" s="270"/>
      <c r="I74" s="270"/>
      <c r="J74" s="270"/>
      <c r="K74" s="270"/>
      <c r="L74" s="270"/>
      <c r="M74" s="270"/>
      <c r="N74" s="270"/>
      <c r="O74" s="270" t="s">
        <v>533</v>
      </c>
      <c r="P74" s="270"/>
      <c r="Q74" s="270"/>
      <c r="R74" s="270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0"/>
      <c r="AF74" s="270"/>
      <c r="AG74" s="270"/>
      <c r="AH74" s="270"/>
      <c r="AI74" s="270"/>
      <c r="AJ74" s="270"/>
      <c r="AK74" s="270"/>
      <c r="AL74" s="270"/>
      <c r="AM74" s="270"/>
      <c r="AN74" s="270"/>
      <c r="AO74" s="270"/>
      <c r="AP74" s="270"/>
      <c r="AQ74" s="270"/>
      <c r="AR74" s="270"/>
      <c r="AS74" s="139">
        <v>45</v>
      </c>
      <c r="AT74" s="139">
        <v>848</v>
      </c>
      <c r="AU74" s="271">
        <v>149.97</v>
      </c>
      <c r="AV74" s="271"/>
      <c r="AW74" s="139">
        <v>390143</v>
      </c>
      <c r="AX74" s="139">
        <v>15875761.199999999</v>
      </c>
      <c r="AY74" s="139">
        <v>15875761.199999999</v>
      </c>
      <c r="AZ74" s="139">
        <v>0</v>
      </c>
      <c r="BA74" s="139">
        <v>0</v>
      </c>
      <c r="BB74" s="139">
        <v>0</v>
      </c>
      <c r="BC74" s="139">
        <v>4391002.33</v>
      </c>
      <c r="BD74" s="139">
        <v>20266763.530000001</v>
      </c>
      <c r="BE74" s="139">
        <v>546066.92000000004</v>
      </c>
      <c r="BF74" s="139">
        <v>88286.63</v>
      </c>
      <c r="BG74" s="139">
        <v>980565.36</v>
      </c>
      <c r="BH74" s="139">
        <v>21816</v>
      </c>
      <c r="BI74" s="139">
        <v>10180.620000000001</v>
      </c>
      <c r="BJ74" s="139">
        <v>0</v>
      </c>
      <c r="BK74" s="139">
        <v>137856.68</v>
      </c>
      <c r="BL74" s="139">
        <v>38572.379999999997</v>
      </c>
      <c r="BM74" s="139">
        <v>2465851.54</v>
      </c>
      <c r="BN74" s="139">
        <v>101806.2</v>
      </c>
      <c r="BO74" s="139">
        <v>5655.9</v>
      </c>
      <c r="BP74" s="139">
        <v>5655.9</v>
      </c>
    </row>
    <row r="75" spans="1:68" ht="14.45" customHeight="1">
      <c r="A75" s="270"/>
      <c r="B75" s="270"/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 t="s">
        <v>334</v>
      </c>
      <c r="P75" s="270"/>
      <c r="Q75" s="270" t="s">
        <v>225</v>
      </c>
      <c r="R75" s="270"/>
      <c r="S75" s="270"/>
      <c r="T75" s="270"/>
      <c r="U75" s="270"/>
      <c r="V75" s="270"/>
      <c r="W75" s="270"/>
      <c r="X75" s="270"/>
      <c r="Y75" s="270"/>
      <c r="Z75" s="270"/>
      <c r="AA75" s="270"/>
      <c r="AB75" s="270"/>
      <c r="AC75" s="270"/>
      <c r="AD75" s="270"/>
      <c r="AE75" s="270"/>
      <c r="AF75" s="270"/>
      <c r="AG75" s="270"/>
      <c r="AH75" s="270"/>
      <c r="AI75" s="270"/>
      <c r="AJ75" s="270"/>
      <c r="AK75" s="270"/>
      <c r="AL75" s="270"/>
      <c r="AM75" s="270"/>
      <c r="AN75" s="270"/>
      <c r="AO75" s="270"/>
      <c r="AP75" s="270"/>
      <c r="AQ75" s="270"/>
      <c r="AR75" s="270"/>
      <c r="AS75" s="139">
        <v>28</v>
      </c>
      <c r="AT75" s="139">
        <v>224</v>
      </c>
      <c r="AU75" s="271">
        <v>73.489999999999995</v>
      </c>
      <c r="AV75" s="271"/>
      <c r="AW75" s="139">
        <v>1013231</v>
      </c>
      <c r="AX75" s="139">
        <v>8111696</v>
      </c>
      <c r="AY75" s="139">
        <v>7135888</v>
      </c>
      <c r="AZ75" s="139">
        <v>975808</v>
      </c>
      <c r="BA75" s="139">
        <v>0</v>
      </c>
      <c r="BB75" s="139">
        <v>0</v>
      </c>
      <c r="BC75" s="139">
        <v>4078904.85</v>
      </c>
      <c r="BD75" s="139">
        <v>12190600.85</v>
      </c>
      <c r="BE75" s="139">
        <v>292565.18</v>
      </c>
      <c r="BF75" s="139">
        <v>29428.880000000001</v>
      </c>
      <c r="BG75" s="139">
        <v>807013.96</v>
      </c>
      <c r="BH75" s="139">
        <v>28756.799999999999</v>
      </c>
      <c r="BI75" s="139">
        <v>5638.14</v>
      </c>
      <c r="BJ75" s="139">
        <v>0</v>
      </c>
      <c r="BK75" s="139">
        <v>141005.17000000001</v>
      </c>
      <c r="BL75" s="139">
        <v>0</v>
      </c>
      <c r="BM75" s="139">
        <v>2718115.32</v>
      </c>
      <c r="BN75" s="139">
        <v>56381.4</v>
      </c>
      <c r="BO75" s="139">
        <v>3268.3</v>
      </c>
      <c r="BP75" s="139">
        <v>3268.3</v>
      </c>
    </row>
    <row r="76" spans="1:68" ht="14.45" customHeight="1">
      <c r="A76" s="270"/>
      <c r="B76" s="270"/>
      <c r="C76" s="270"/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 t="s">
        <v>395</v>
      </c>
      <c r="P76" s="270"/>
      <c r="Q76" s="270"/>
      <c r="R76" s="270"/>
      <c r="S76" s="270"/>
      <c r="T76" s="270"/>
      <c r="U76" s="270"/>
      <c r="V76" s="270"/>
      <c r="W76" s="270"/>
      <c r="X76" s="270"/>
      <c r="Y76" s="270"/>
      <c r="Z76" s="270"/>
      <c r="AA76" s="270"/>
      <c r="AB76" s="270"/>
      <c r="AC76" s="270"/>
      <c r="AD76" s="270"/>
      <c r="AE76" s="270"/>
      <c r="AF76" s="270"/>
      <c r="AG76" s="270"/>
      <c r="AH76" s="270"/>
      <c r="AI76" s="270"/>
      <c r="AJ76" s="270"/>
      <c r="AK76" s="270"/>
      <c r="AL76" s="270"/>
      <c r="AM76" s="270"/>
      <c r="AN76" s="270"/>
      <c r="AO76" s="270"/>
      <c r="AP76" s="270"/>
      <c r="AQ76" s="270"/>
      <c r="AR76" s="270"/>
      <c r="AS76" s="139">
        <v>28</v>
      </c>
      <c r="AT76" s="139">
        <v>224</v>
      </c>
      <c r="AU76" s="271">
        <v>73.489999999999995</v>
      </c>
      <c r="AV76" s="271"/>
      <c r="AW76" s="139">
        <v>1013231</v>
      </c>
      <c r="AX76" s="139">
        <v>8111696</v>
      </c>
      <c r="AY76" s="139">
        <v>7135888</v>
      </c>
      <c r="AZ76" s="139">
        <v>975808</v>
      </c>
      <c r="BA76" s="139">
        <v>0</v>
      </c>
      <c r="BB76" s="139">
        <v>0</v>
      </c>
      <c r="BC76" s="139">
        <v>4078904.85</v>
      </c>
      <c r="BD76" s="139">
        <v>12190600.85</v>
      </c>
      <c r="BE76" s="139">
        <v>292565.18</v>
      </c>
      <c r="BF76" s="139">
        <v>29428.880000000001</v>
      </c>
      <c r="BG76" s="139">
        <v>807013.96</v>
      </c>
      <c r="BH76" s="139">
        <v>28756.799999999999</v>
      </c>
      <c r="BI76" s="139">
        <v>5638.14</v>
      </c>
      <c r="BJ76" s="139">
        <v>0</v>
      </c>
      <c r="BK76" s="139">
        <v>141005.17000000001</v>
      </c>
      <c r="BL76" s="139">
        <v>0</v>
      </c>
      <c r="BM76" s="139">
        <v>2718115.32</v>
      </c>
      <c r="BN76" s="139">
        <v>56381.4</v>
      </c>
      <c r="BO76" s="139">
        <v>3268.3</v>
      </c>
      <c r="BP76" s="139">
        <v>3268.3</v>
      </c>
    </row>
    <row r="77" spans="1:68" ht="14.45" customHeight="1">
      <c r="A77" s="270"/>
      <c r="B77" s="270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0" t="s">
        <v>125</v>
      </c>
      <c r="N77" s="270"/>
      <c r="O77" s="270"/>
      <c r="P77" s="270"/>
      <c r="Q77" s="270"/>
      <c r="R77" s="270"/>
      <c r="S77" s="270"/>
      <c r="T77" s="270"/>
      <c r="U77" s="270"/>
      <c r="V77" s="270"/>
      <c r="W77" s="270"/>
      <c r="X77" s="270"/>
      <c r="Y77" s="270"/>
      <c r="Z77" s="270"/>
      <c r="AA77" s="270"/>
      <c r="AB77" s="270"/>
      <c r="AC77" s="270"/>
      <c r="AD77" s="270"/>
      <c r="AE77" s="270"/>
      <c r="AF77" s="270"/>
      <c r="AG77" s="270"/>
      <c r="AH77" s="270"/>
      <c r="AI77" s="270"/>
      <c r="AJ77" s="270"/>
      <c r="AK77" s="270"/>
      <c r="AL77" s="270"/>
      <c r="AM77" s="270"/>
      <c r="AN77" s="270"/>
      <c r="AO77" s="270"/>
      <c r="AP77" s="270"/>
      <c r="AQ77" s="270"/>
      <c r="AR77" s="270"/>
      <c r="AS77" s="139">
        <v>1016</v>
      </c>
      <c r="AT77" s="139">
        <v>12418</v>
      </c>
      <c r="AU77" s="271">
        <v>2951.37</v>
      </c>
      <c r="AV77" s="271"/>
      <c r="AW77" s="139">
        <v>25259693</v>
      </c>
      <c r="AX77" s="139">
        <v>306253126.60000002</v>
      </c>
      <c r="AY77" s="139">
        <v>268287829.59999999</v>
      </c>
      <c r="AZ77" s="139">
        <v>37965297</v>
      </c>
      <c r="BA77" s="139">
        <v>122744</v>
      </c>
      <c r="BB77" s="139">
        <v>920580</v>
      </c>
      <c r="BC77" s="139">
        <v>93318818.340000004</v>
      </c>
      <c r="BD77" s="139">
        <v>400492524.94</v>
      </c>
      <c r="BE77" s="139">
        <v>10942305.59</v>
      </c>
      <c r="BF77" s="139">
        <v>1504276.9</v>
      </c>
      <c r="BG77" s="139">
        <v>26006675.879999999</v>
      </c>
      <c r="BH77" s="139">
        <v>763545.59999999998</v>
      </c>
      <c r="BI77" s="139">
        <v>176565.06</v>
      </c>
      <c r="BJ77" s="139">
        <v>0</v>
      </c>
      <c r="BK77" s="139">
        <v>2991007.37</v>
      </c>
      <c r="BL77" s="139">
        <v>302731.7</v>
      </c>
      <c r="BM77" s="139">
        <v>48768509.380000003</v>
      </c>
      <c r="BN77" s="139">
        <v>1765650.6</v>
      </c>
      <c r="BO77" s="139">
        <v>99938.7</v>
      </c>
      <c r="BP77" s="139">
        <v>99938.7</v>
      </c>
    </row>
    <row r="78" spans="1:68" ht="14.45" customHeight="1">
      <c r="A78" s="270"/>
      <c r="B78" s="270"/>
      <c r="C78" s="270"/>
      <c r="D78" s="270"/>
      <c r="E78" s="270"/>
      <c r="F78" s="270"/>
      <c r="G78" s="270"/>
      <c r="H78" s="270"/>
      <c r="I78" s="270"/>
      <c r="J78" s="270" t="s">
        <v>376</v>
      </c>
      <c r="K78" s="270"/>
      <c r="L78" s="270"/>
      <c r="M78" s="270"/>
      <c r="N78" s="270"/>
      <c r="O78" s="270"/>
      <c r="P78" s="270"/>
      <c r="Q78" s="270"/>
      <c r="R78" s="270"/>
      <c r="S78" s="270"/>
      <c r="T78" s="270"/>
      <c r="U78" s="270"/>
      <c r="V78" s="270"/>
      <c r="W78" s="270"/>
      <c r="X78" s="270"/>
      <c r="Y78" s="270"/>
      <c r="Z78" s="270"/>
      <c r="AA78" s="270"/>
      <c r="AB78" s="270"/>
      <c r="AC78" s="270"/>
      <c r="AD78" s="270"/>
      <c r="AE78" s="270"/>
      <c r="AF78" s="270"/>
      <c r="AG78" s="270"/>
      <c r="AH78" s="270"/>
      <c r="AI78" s="270"/>
      <c r="AJ78" s="270"/>
      <c r="AK78" s="270"/>
      <c r="AL78" s="270"/>
      <c r="AM78" s="270"/>
      <c r="AN78" s="270"/>
      <c r="AO78" s="270"/>
      <c r="AP78" s="270"/>
      <c r="AQ78" s="270"/>
      <c r="AR78" s="270"/>
      <c r="AS78" s="139">
        <v>1016</v>
      </c>
      <c r="AT78" s="139">
        <v>12418</v>
      </c>
      <c r="AU78" s="271">
        <v>2951.37</v>
      </c>
      <c r="AV78" s="271"/>
      <c r="AW78" s="139">
        <v>25259693</v>
      </c>
      <c r="AX78" s="139">
        <v>306253126.60000002</v>
      </c>
      <c r="AY78" s="139">
        <v>268287829.59999999</v>
      </c>
      <c r="AZ78" s="139">
        <v>37965297</v>
      </c>
      <c r="BA78" s="139">
        <v>122744</v>
      </c>
      <c r="BB78" s="139">
        <v>920580</v>
      </c>
      <c r="BC78" s="139">
        <v>93318818.340000004</v>
      </c>
      <c r="BD78" s="139">
        <v>400492524.94</v>
      </c>
      <c r="BE78" s="139">
        <v>10942305.59</v>
      </c>
      <c r="BF78" s="139">
        <v>1504276.9</v>
      </c>
      <c r="BG78" s="139">
        <v>26006675.879999999</v>
      </c>
      <c r="BH78" s="139">
        <v>763545.59999999998</v>
      </c>
      <c r="BI78" s="139">
        <v>176565.06</v>
      </c>
      <c r="BJ78" s="139">
        <v>0</v>
      </c>
      <c r="BK78" s="139">
        <v>2991007.37</v>
      </c>
      <c r="BL78" s="139">
        <v>302731.7</v>
      </c>
      <c r="BM78" s="139">
        <v>48768509.380000003</v>
      </c>
      <c r="BN78" s="139">
        <v>1765650.6</v>
      </c>
      <c r="BO78" s="139">
        <v>99938.7</v>
      </c>
      <c r="BP78" s="139">
        <v>99938.7</v>
      </c>
    </row>
    <row r="79" spans="1:68" ht="14.45" customHeight="1">
      <c r="A79" s="270"/>
      <c r="B79" s="270"/>
      <c r="C79" s="270"/>
      <c r="D79" s="270"/>
      <c r="E79" s="270"/>
      <c r="F79" s="270"/>
      <c r="G79" s="270"/>
      <c r="H79" s="270" t="s">
        <v>377</v>
      </c>
      <c r="I79" s="270"/>
      <c r="J79" s="270"/>
      <c r="K79" s="270"/>
      <c r="L79" s="270"/>
      <c r="M79" s="270"/>
      <c r="N79" s="270"/>
      <c r="O79" s="270"/>
      <c r="P79" s="270"/>
      <c r="Q79" s="270"/>
      <c r="R79" s="270"/>
      <c r="S79" s="270"/>
      <c r="T79" s="270"/>
      <c r="U79" s="270"/>
      <c r="V79" s="270"/>
      <c r="W79" s="270"/>
      <c r="X79" s="270"/>
      <c r="Y79" s="270"/>
      <c r="Z79" s="270"/>
      <c r="AA79" s="270"/>
      <c r="AB79" s="270"/>
      <c r="AC79" s="270"/>
      <c r="AD79" s="270"/>
      <c r="AE79" s="270"/>
      <c r="AF79" s="270"/>
      <c r="AG79" s="270"/>
      <c r="AH79" s="270"/>
      <c r="AI79" s="270"/>
      <c r="AJ79" s="270"/>
      <c r="AK79" s="270"/>
      <c r="AL79" s="270"/>
      <c r="AM79" s="270"/>
      <c r="AN79" s="270"/>
      <c r="AO79" s="270"/>
      <c r="AP79" s="270"/>
      <c r="AQ79" s="270"/>
      <c r="AR79" s="270"/>
      <c r="AS79" s="139">
        <v>1016</v>
      </c>
      <c r="AT79" s="139">
        <v>12418</v>
      </c>
      <c r="AU79" s="271">
        <v>2951.37</v>
      </c>
      <c r="AV79" s="271"/>
      <c r="AW79" s="139">
        <v>25259693</v>
      </c>
      <c r="AX79" s="139">
        <v>306253126.60000002</v>
      </c>
      <c r="AY79" s="139">
        <v>268287829.59999999</v>
      </c>
      <c r="AZ79" s="139">
        <v>37965297</v>
      </c>
      <c r="BA79" s="139">
        <v>122744</v>
      </c>
      <c r="BB79" s="139">
        <v>920580</v>
      </c>
      <c r="BC79" s="139">
        <v>93318818.340000004</v>
      </c>
      <c r="BD79" s="139">
        <v>400492524.94</v>
      </c>
      <c r="BE79" s="139">
        <v>10942305.59</v>
      </c>
      <c r="BF79" s="139">
        <v>1504276.9</v>
      </c>
      <c r="BG79" s="139">
        <v>26006675.879999999</v>
      </c>
      <c r="BH79" s="139">
        <v>763545.59999999998</v>
      </c>
      <c r="BI79" s="139">
        <v>176565.06</v>
      </c>
      <c r="BJ79" s="139">
        <v>0</v>
      </c>
      <c r="BK79" s="139">
        <v>2991007.37</v>
      </c>
      <c r="BL79" s="139">
        <v>302731.7</v>
      </c>
      <c r="BM79" s="139">
        <v>48768509.380000003</v>
      </c>
      <c r="BN79" s="139">
        <v>1765650.6</v>
      </c>
      <c r="BO79" s="139">
        <v>99938.7</v>
      </c>
      <c r="BP79" s="139">
        <v>99938.7</v>
      </c>
    </row>
    <row r="80" spans="1:68" ht="14.45" customHeight="1">
      <c r="A80" s="270"/>
      <c r="B80" s="270"/>
      <c r="C80" s="270"/>
      <c r="D80" s="270"/>
      <c r="E80" s="270" t="s">
        <v>378</v>
      </c>
      <c r="F80" s="270"/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270"/>
      <c r="AE80" s="270"/>
      <c r="AF80" s="270"/>
      <c r="AG80" s="270"/>
      <c r="AH80" s="270"/>
      <c r="AI80" s="270"/>
      <c r="AJ80" s="270"/>
      <c r="AK80" s="270"/>
      <c r="AL80" s="270"/>
      <c r="AM80" s="270"/>
      <c r="AN80" s="270"/>
      <c r="AO80" s="270"/>
      <c r="AP80" s="270"/>
      <c r="AQ80" s="270"/>
      <c r="AR80" s="270"/>
      <c r="AS80" s="139">
        <v>1016</v>
      </c>
      <c r="AT80" s="139">
        <v>12418</v>
      </c>
      <c r="AU80" s="271">
        <v>2951.37</v>
      </c>
      <c r="AV80" s="271"/>
      <c r="AW80" s="139">
        <v>25259693</v>
      </c>
      <c r="AX80" s="139">
        <v>306253126.60000002</v>
      </c>
      <c r="AY80" s="139">
        <v>268287829.59999999</v>
      </c>
      <c r="AZ80" s="139">
        <v>37965297</v>
      </c>
      <c r="BA80" s="139">
        <v>122744</v>
      </c>
      <c r="BB80" s="139">
        <v>920580</v>
      </c>
      <c r="BC80" s="139">
        <v>93318818.340000004</v>
      </c>
      <c r="BD80" s="139">
        <v>400492524.94</v>
      </c>
      <c r="BE80" s="139">
        <v>10942305.59</v>
      </c>
      <c r="BF80" s="139">
        <v>1504276.9</v>
      </c>
      <c r="BG80" s="139">
        <v>26006675.879999999</v>
      </c>
      <c r="BH80" s="139">
        <v>763545.59999999998</v>
      </c>
      <c r="BI80" s="139">
        <v>176565.06</v>
      </c>
      <c r="BJ80" s="139">
        <v>0</v>
      </c>
      <c r="BK80" s="139">
        <v>2991007.37</v>
      </c>
      <c r="BL80" s="139">
        <v>302731.7</v>
      </c>
      <c r="BM80" s="139">
        <v>48768509.380000003</v>
      </c>
      <c r="BN80" s="139">
        <v>1765650.6</v>
      </c>
      <c r="BO80" s="139">
        <v>99938.7</v>
      </c>
      <c r="BP80" s="139">
        <v>99938.7</v>
      </c>
    </row>
    <row r="81" spans="1:68" ht="14.45" customHeight="1">
      <c r="A81" s="270"/>
      <c r="B81" s="270"/>
      <c r="C81" s="270" t="s">
        <v>379</v>
      </c>
      <c r="D81" s="270"/>
      <c r="E81" s="270"/>
      <c r="F81" s="270"/>
      <c r="G81" s="270"/>
      <c r="H81" s="270"/>
      <c r="I81" s="270"/>
      <c r="J81" s="270"/>
      <c r="K81" s="270"/>
      <c r="L81" s="270"/>
      <c r="M81" s="270"/>
      <c r="N81" s="270"/>
      <c r="O81" s="270"/>
      <c r="P81" s="270"/>
      <c r="Q81" s="270"/>
      <c r="R81" s="270"/>
      <c r="S81" s="270"/>
      <c r="T81" s="270"/>
      <c r="U81" s="270"/>
      <c r="V81" s="270"/>
      <c r="W81" s="270"/>
      <c r="X81" s="270"/>
      <c r="Y81" s="270"/>
      <c r="Z81" s="270"/>
      <c r="AA81" s="270"/>
      <c r="AB81" s="270"/>
      <c r="AC81" s="270"/>
      <c r="AD81" s="270"/>
      <c r="AE81" s="270"/>
      <c r="AF81" s="270"/>
      <c r="AG81" s="270"/>
      <c r="AH81" s="270"/>
      <c r="AI81" s="270"/>
      <c r="AJ81" s="270"/>
      <c r="AK81" s="270"/>
      <c r="AL81" s="270"/>
      <c r="AM81" s="270"/>
      <c r="AN81" s="270"/>
      <c r="AO81" s="270"/>
      <c r="AP81" s="270"/>
      <c r="AQ81" s="270"/>
      <c r="AR81" s="270"/>
      <c r="AS81" s="139">
        <v>1016</v>
      </c>
      <c r="AT81" s="139">
        <v>12418</v>
      </c>
      <c r="AU81" s="271">
        <v>2951.37</v>
      </c>
      <c r="AV81" s="271"/>
      <c r="AW81" s="139">
        <v>25259693</v>
      </c>
      <c r="AX81" s="139">
        <v>306253126.60000002</v>
      </c>
      <c r="AY81" s="139">
        <v>268287829.59999999</v>
      </c>
      <c r="AZ81" s="139">
        <v>37965297</v>
      </c>
      <c r="BA81" s="139">
        <v>122744</v>
      </c>
      <c r="BB81" s="139">
        <v>920580</v>
      </c>
      <c r="BC81" s="139">
        <v>93318818.340000004</v>
      </c>
      <c r="BD81" s="139">
        <v>400492524.94</v>
      </c>
      <c r="BE81" s="139">
        <v>10942305.59</v>
      </c>
      <c r="BF81" s="139">
        <v>1504276.9</v>
      </c>
      <c r="BG81" s="139">
        <v>26006675.879999999</v>
      </c>
      <c r="BH81" s="139">
        <v>763545.59999999998</v>
      </c>
      <c r="BI81" s="139">
        <v>176565.06</v>
      </c>
      <c r="BJ81" s="139">
        <v>0</v>
      </c>
      <c r="BK81" s="139">
        <v>2991007.37</v>
      </c>
      <c r="BL81" s="139">
        <v>302731.7</v>
      </c>
      <c r="BM81" s="139">
        <v>48768509.380000003</v>
      </c>
      <c r="BN81" s="139">
        <v>1765650.6</v>
      </c>
      <c r="BO81" s="139">
        <v>99938.7</v>
      </c>
      <c r="BP81" s="139">
        <v>99938.7</v>
      </c>
    </row>
    <row r="82" spans="1:68" ht="14.45" customHeight="1">
      <c r="A82" s="270" t="s">
        <v>380</v>
      </c>
      <c r="B82" s="270"/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  <c r="W82" s="270"/>
      <c r="X82" s="270"/>
      <c r="Y82" s="270"/>
      <c r="Z82" s="270"/>
      <c r="AA82" s="270"/>
      <c r="AB82" s="270"/>
      <c r="AC82" s="270"/>
      <c r="AD82" s="270"/>
      <c r="AE82" s="270"/>
      <c r="AF82" s="270"/>
      <c r="AG82" s="270"/>
      <c r="AH82" s="270"/>
      <c r="AI82" s="270"/>
      <c r="AJ82" s="270"/>
      <c r="AK82" s="270"/>
      <c r="AL82" s="270"/>
      <c r="AM82" s="270"/>
      <c r="AN82" s="270"/>
      <c r="AO82" s="270"/>
      <c r="AP82" s="270"/>
      <c r="AQ82" s="270"/>
      <c r="AR82" s="270"/>
      <c r="AS82" s="139">
        <v>1016</v>
      </c>
      <c r="AT82" s="139">
        <v>12418</v>
      </c>
      <c r="AU82" s="271">
        <v>2951.37</v>
      </c>
      <c r="AV82" s="271"/>
      <c r="AW82" s="139">
        <v>25259693</v>
      </c>
      <c r="AX82" s="139">
        <v>306253126.60000002</v>
      </c>
      <c r="AY82" s="139">
        <v>268287829.59999999</v>
      </c>
      <c r="AZ82" s="139">
        <v>37965297</v>
      </c>
      <c r="BA82" s="139">
        <v>122744</v>
      </c>
      <c r="BB82" s="139">
        <v>920580</v>
      </c>
      <c r="BC82" s="139">
        <v>93318818.340000004</v>
      </c>
      <c r="BD82" s="139">
        <v>400492524.94</v>
      </c>
      <c r="BE82" s="139">
        <v>10942305.59</v>
      </c>
      <c r="BF82" s="139">
        <v>1504276.9</v>
      </c>
      <c r="BG82" s="139">
        <v>26006675.879999999</v>
      </c>
      <c r="BH82" s="139">
        <v>763545.59999999998</v>
      </c>
      <c r="BI82" s="139">
        <v>176565.06</v>
      </c>
      <c r="BJ82" s="139">
        <v>0</v>
      </c>
      <c r="BK82" s="139">
        <v>2991007.37</v>
      </c>
      <c r="BL82" s="139">
        <v>302731.7</v>
      </c>
      <c r="BM82" s="139">
        <v>48768509.380000003</v>
      </c>
      <c r="BN82" s="139">
        <v>1765650.6</v>
      </c>
      <c r="BO82" s="139">
        <v>99938.7</v>
      </c>
      <c r="BP82" s="139">
        <v>99938.7</v>
      </c>
    </row>
    <row r="83" spans="1:68" ht="14.45" customHeight="1">
      <c r="A83" s="270" t="s">
        <v>79</v>
      </c>
      <c r="B83" s="270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270"/>
      <c r="W83" s="270"/>
      <c r="X83" s="270"/>
      <c r="Y83" s="270"/>
      <c r="Z83" s="270"/>
      <c r="AA83" s="270"/>
      <c r="AB83" s="270"/>
      <c r="AC83" s="270"/>
      <c r="AD83" s="270"/>
      <c r="AE83" s="270"/>
      <c r="AF83" s="270"/>
      <c r="AG83" s="270"/>
      <c r="AH83" s="270"/>
      <c r="AI83" s="270"/>
      <c r="AJ83" s="270"/>
      <c r="AK83" s="270"/>
      <c r="AL83" s="270"/>
      <c r="AM83" s="270"/>
      <c r="AN83" s="270"/>
      <c r="AO83" s="270"/>
      <c r="AP83" s="270"/>
      <c r="AQ83" s="270"/>
      <c r="AR83" s="270"/>
      <c r="AS83" s="139">
        <v>1016</v>
      </c>
      <c r="AT83" s="139">
        <v>12418</v>
      </c>
      <c r="AU83" s="271">
        <v>2951.37</v>
      </c>
      <c r="AV83" s="271"/>
      <c r="AW83" s="139">
        <v>25259693</v>
      </c>
      <c r="AX83" s="139">
        <v>306253126.60000002</v>
      </c>
      <c r="AY83" s="139">
        <v>268287829.59999999</v>
      </c>
      <c r="AZ83" s="139">
        <v>37965297</v>
      </c>
      <c r="BA83" s="139">
        <v>122744</v>
      </c>
      <c r="BB83" s="139">
        <v>920580</v>
      </c>
      <c r="BC83" s="139">
        <v>93318818.340000004</v>
      </c>
      <c r="BD83" s="139">
        <v>400492524.94</v>
      </c>
      <c r="BE83" s="139">
        <v>10942305.59</v>
      </c>
      <c r="BF83" s="139">
        <v>1504276.9</v>
      </c>
      <c r="BG83" s="139">
        <v>26006675.879999999</v>
      </c>
      <c r="BH83" s="139">
        <v>763545.59999999998</v>
      </c>
      <c r="BI83" s="139">
        <v>176565.06</v>
      </c>
      <c r="BJ83" s="139">
        <v>0</v>
      </c>
      <c r="BK83" s="139">
        <v>2991007.37</v>
      </c>
      <c r="BL83" s="139">
        <v>302731.7</v>
      </c>
      <c r="BM83" s="139">
        <v>48768509.380000003</v>
      </c>
      <c r="BN83" s="139">
        <v>1765650.6</v>
      </c>
      <c r="BO83" s="139">
        <v>99938.7</v>
      </c>
      <c r="BP83" s="139">
        <v>99938.7</v>
      </c>
    </row>
  </sheetData>
  <mergeCells count="230">
    <mergeCell ref="A1:AU1"/>
    <mergeCell ref="A2:V2"/>
    <mergeCell ref="A3:V3"/>
    <mergeCell ref="A4:V4"/>
    <mergeCell ref="A5:V5"/>
    <mergeCell ref="A6:E6"/>
    <mergeCell ref="AO8:AP8"/>
    <mergeCell ref="AB8:AC8"/>
    <mergeCell ref="AD8:AE8"/>
    <mergeCell ref="AG8:AH8"/>
    <mergeCell ref="AI8:AJ8"/>
    <mergeCell ref="AK8:AL8"/>
    <mergeCell ref="AM8:AN8"/>
    <mergeCell ref="P8:Q8"/>
    <mergeCell ref="R8:S8"/>
    <mergeCell ref="T8:U8"/>
    <mergeCell ref="V8:W8"/>
    <mergeCell ref="X8:Y8"/>
    <mergeCell ref="Z8:AA8"/>
    <mergeCell ref="B8:C8"/>
    <mergeCell ref="A10:B10"/>
    <mergeCell ref="C10:D10"/>
    <mergeCell ref="E10:G10"/>
    <mergeCell ref="H10:I10"/>
    <mergeCell ref="J10:L10"/>
    <mergeCell ref="M10:N10"/>
    <mergeCell ref="O10:P10"/>
    <mergeCell ref="Q10:R10"/>
    <mergeCell ref="G8:H8"/>
    <mergeCell ref="I8:J8"/>
    <mergeCell ref="L8:M8"/>
    <mergeCell ref="N8:O8"/>
    <mergeCell ref="D8:F8"/>
    <mergeCell ref="AS9:BP9"/>
    <mergeCell ref="O11:P11"/>
    <mergeCell ref="Q11:AR11"/>
    <mergeCell ref="AU11:AV11"/>
    <mergeCell ref="O12:AR12"/>
    <mergeCell ref="AU12:AV12"/>
    <mergeCell ref="O13:P13"/>
    <mergeCell ref="Q13:AR13"/>
    <mergeCell ref="AU13:AV13"/>
    <mergeCell ref="AH10:AI10"/>
    <mergeCell ref="AJ10:AK10"/>
    <mergeCell ref="AL10:AM10"/>
    <mergeCell ref="AN10:AO10"/>
    <mergeCell ref="AP10:AR10"/>
    <mergeCell ref="AU10:AV10"/>
    <mergeCell ref="S10:T10"/>
    <mergeCell ref="U10:X10"/>
    <mergeCell ref="Y10:Z10"/>
    <mergeCell ref="AA10:AB10"/>
    <mergeCell ref="AC10:AD10"/>
    <mergeCell ref="AE10:AG10"/>
    <mergeCell ref="AU17:AV17"/>
    <mergeCell ref="Q18:AR18"/>
    <mergeCell ref="AU18:AV18"/>
    <mergeCell ref="O19:AR19"/>
    <mergeCell ref="AU19:AV19"/>
    <mergeCell ref="O14:AR14"/>
    <mergeCell ref="AU14:AV14"/>
    <mergeCell ref="O15:P15"/>
    <mergeCell ref="Q15:AR15"/>
    <mergeCell ref="AU15:AV15"/>
    <mergeCell ref="O16:AR16"/>
    <mergeCell ref="AU16:AV16"/>
    <mergeCell ref="O17:P18"/>
    <mergeCell ref="Q17:AR17"/>
    <mergeCell ref="AU23:AV23"/>
    <mergeCell ref="O24:P24"/>
    <mergeCell ref="Q24:AR24"/>
    <mergeCell ref="AU24:AV24"/>
    <mergeCell ref="O25:AR25"/>
    <mergeCell ref="AU25:AV25"/>
    <mergeCell ref="O20:P20"/>
    <mergeCell ref="Q20:AR20"/>
    <mergeCell ref="AU20:AV20"/>
    <mergeCell ref="O21:AR21"/>
    <mergeCell ref="AU21:AV21"/>
    <mergeCell ref="O22:P22"/>
    <mergeCell ref="Q22:AR22"/>
    <mergeCell ref="AU22:AV22"/>
    <mergeCell ref="O23:AR23"/>
    <mergeCell ref="AU29:AV29"/>
    <mergeCell ref="O30:P30"/>
    <mergeCell ref="Q30:AR30"/>
    <mergeCell ref="AU30:AV30"/>
    <mergeCell ref="O31:AR31"/>
    <mergeCell ref="AU31:AV31"/>
    <mergeCell ref="O26:P26"/>
    <mergeCell ref="Q26:AR26"/>
    <mergeCell ref="AU26:AV26"/>
    <mergeCell ref="O27:AR27"/>
    <mergeCell ref="AU27:AV27"/>
    <mergeCell ref="O28:P28"/>
    <mergeCell ref="Q28:AR28"/>
    <mergeCell ref="AU28:AV28"/>
    <mergeCell ref="O29:AR29"/>
    <mergeCell ref="AU35:AV35"/>
    <mergeCell ref="O36:P36"/>
    <mergeCell ref="Q36:AR36"/>
    <mergeCell ref="AU36:AV36"/>
    <mergeCell ref="O37:AR37"/>
    <mergeCell ref="AU37:AV37"/>
    <mergeCell ref="O32:P32"/>
    <mergeCell ref="Q32:AR32"/>
    <mergeCell ref="AU32:AV32"/>
    <mergeCell ref="O33:AR33"/>
    <mergeCell ref="AU33:AV33"/>
    <mergeCell ref="O34:P34"/>
    <mergeCell ref="Q34:AR34"/>
    <mergeCell ref="AU34:AV34"/>
    <mergeCell ref="O35:AR35"/>
    <mergeCell ref="AU41:AV41"/>
    <mergeCell ref="O42:P42"/>
    <mergeCell ref="Q42:AR42"/>
    <mergeCell ref="AU42:AV42"/>
    <mergeCell ref="O43:AR43"/>
    <mergeCell ref="AU43:AV43"/>
    <mergeCell ref="O38:P38"/>
    <mergeCell ref="Q38:AR38"/>
    <mergeCell ref="AU38:AV38"/>
    <mergeCell ref="O39:AR39"/>
    <mergeCell ref="AU39:AV39"/>
    <mergeCell ref="O40:P40"/>
    <mergeCell ref="Q40:AR40"/>
    <mergeCell ref="AU40:AV40"/>
    <mergeCell ref="O41:AR41"/>
    <mergeCell ref="AU47:AV47"/>
    <mergeCell ref="O48:P48"/>
    <mergeCell ref="Q48:AR48"/>
    <mergeCell ref="AU48:AV48"/>
    <mergeCell ref="O49:AR49"/>
    <mergeCell ref="AU49:AV49"/>
    <mergeCell ref="O44:P44"/>
    <mergeCell ref="Q44:AR44"/>
    <mergeCell ref="AU44:AV44"/>
    <mergeCell ref="O45:AR45"/>
    <mergeCell ref="AU45:AV45"/>
    <mergeCell ref="O46:P46"/>
    <mergeCell ref="Q46:AR46"/>
    <mergeCell ref="AU46:AV46"/>
    <mergeCell ref="O47:AR47"/>
    <mergeCell ref="AU50:AV50"/>
    <mergeCell ref="O51:AR51"/>
    <mergeCell ref="AU51:AV51"/>
    <mergeCell ref="O52:P53"/>
    <mergeCell ref="Q52:AR52"/>
    <mergeCell ref="AU52:AV52"/>
    <mergeCell ref="Q53:AR53"/>
    <mergeCell ref="AU53:AV53"/>
    <mergeCell ref="O57:P57"/>
    <mergeCell ref="Q57:AR57"/>
    <mergeCell ref="AU57:AV57"/>
    <mergeCell ref="O50:P50"/>
    <mergeCell ref="Q50:AR50"/>
    <mergeCell ref="AU58:AV58"/>
    <mergeCell ref="O59:P59"/>
    <mergeCell ref="Q59:AR59"/>
    <mergeCell ref="AU59:AV59"/>
    <mergeCell ref="O54:AR54"/>
    <mergeCell ref="AU54:AV54"/>
    <mergeCell ref="O55:P55"/>
    <mergeCell ref="Q55:AR55"/>
    <mergeCell ref="AU55:AV55"/>
    <mergeCell ref="O56:AR56"/>
    <mergeCell ref="AU56:AV56"/>
    <mergeCell ref="O58:AR58"/>
    <mergeCell ref="O64:AR64"/>
    <mergeCell ref="AU64:AV64"/>
    <mergeCell ref="O65:P65"/>
    <mergeCell ref="Q65:AR65"/>
    <mergeCell ref="AU65:AV65"/>
    <mergeCell ref="O60:AR60"/>
    <mergeCell ref="AU60:AV60"/>
    <mergeCell ref="O61:P61"/>
    <mergeCell ref="Q61:AR61"/>
    <mergeCell ref="AU61:AV61"/>
    <mergeCell ref="O62:AR62"/>
    <mergeCell ref="AU62:AV62"/>
    <mergeCell ref="O63:P63"/>
    <mergeCell ref="Q63:AR63"/>
    <mergeCell ref="O73:P73"/>
    <mergeCell ref="Q73:AR73"/>
    <mergeCell ref="AU73:AV73"/>
    <mergeCell ref="O74:AR74"/>
    <mergeCell ref="AU74:AV74"/>
    <mergeCell ref="M11:N76"/>
    <mergeCell ref="O75:P75"/>
    <mergeCell ref="Q75:AR75"/>
    <mergeCell ref="AU69:AV69"/>
    <mergeCell ref="O70:AR70"/>
    <mergeCell ref="AU70:AV70"/>
    <mergeCell ref="O71:P71"/>
    <mergeCell ref="Q71:AR71"/>
    <mergeCell ref="AU71:AV71"/>
    <mergeCell ref="O66:AR66"/>
    <mergeCell ref="AU66:AV66"/>
    <mergeCell ref="O67:P67"/>
    <mergeCell ref="Q67:AR67"/>
    <mergeCell ref="AU67:AV67"/>
    <mergeCell ref="O68:AR68"/>
    <mergeCell ref="AU68:AV68"/>
    <mergeCell ref="O69:P69"/>
    <mergeCell ref="Q69:AR69"/>
    <mergeCell ref="AU63:AV63"/>
    <mergeCell ref="A82:AR82"/>
    <mergeCell ref="AU82:AV82"/>
    <mergeCell ref="A83:AR83"/>
    <mergeCell ref="AU83:AV83"/>
    <mergeCell ref="AU78:AV78"/>
    <mergeCell ref="H79:AR79"/>
    <mergeCell ref="AU79:AV79"/>
    <mergeCell ref="E80:AR80"/>
    <mergeCell ref="AU80:AV80"/>
    <mergeCell ref="C81:AR81"/>
    <mergeCell ref="AU81:AV81"/>
    <mergeCell ref="A11:B81"/>
    <mergeCell ref="C11:D80"/>
    <mergeCell ref="E11:G79"/>
    <mergeCell ref="H11:I78"/>
    <mergeCell ref="J11:L77"/>
    <mergeCell ref="J78:AR78"/>
    <mergeCell ref="AU75:AV75"/>
    <mergeCell ref="O76:AR76"/>
    <mergeCell ref="AU76:AV76"/>
    <mergeCell ref="M77:AR77"/>
    <mergeCell ref="AU77:AV77"/>
    <mergeCell ref="O72:AR72"/>
    <mergeCell ref="AU72:AV7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L139"/>
  <sheetViews>
    <sheetView view="pageBreakPreview" zoomScaleSheetLayoutView="10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C18" sqref="C18"/>
    </sheetView>
  </sheetViews>
  <sheetFormatPr defaultColWidth="8.88671875" defaultRowHeight="12.75"/>
  <cols>
    <col min="1" max="1" width="4.88671875" style="17" customWidth="1"/>
    <col min="2" max="2" width="16.109375" style="17" customWidth="1"/>
    <col min="3" max="3" width="8.33203125" style="17" customWidth="1"/>
    <col min="4" max="11" width="8.33203125" style="17" hidden="1" customWidth="1"/>
    <col min="12" max="12" width="7" style="17" customWidth="1"/>
    <col min="13" max="13" width="5.44140625" style="17" customWidth="1"/>
    <col min="14" max="14" width="5.109375" style="18" customWidth="1"/>
    <col min="15" max="15" width="4.88671875" style="18" customWidth="1"/>
    <col min="16" max="16" width="5.44140625" style="18" customWidth="1"/>
    <col min="17" max="17" width="6" style="18" customWidth="1"/>
    <col min="18" max="18" width="5.5546875" style="18" customWidth="1"/>
    <col min="19" max="19" width="5.109375" style="18" customWidth="1"/>
    <col min="20" max="20" width="5.44140625" style="18" customWidth="1"/>
    <col min="21" max="21" width="4.88671875" style="18" customWidth="1"/>
    <col min="22" max="22" width="6" style="18" customWidth="1"/>
    <col min="23" max="23" width="5.109375" style="18" customWidth="1"/>
    <col min="24" max="24" width="5.6640625" style="18" customWidth="1"/>
    <col min="25" max="25" width="5.109375" style="18" customWidth="1"/>
    <col min="26" max="55" width="8.88671875" style="18"/>
    <col min="56" max="56" width="10.33203125" style="18" customWidth="1"/>
    <col min="57" max="60" width="8.88671875" style="18"/>
    <col min="61" max="61" width="7.5546875" style="18" customWidth="1"/>
    <col min="62" max="62" width="7.109375" style="18" customWidth="1"/>
    <col min="63" max="63" width="6.5546875" style="18" customWidth="1"/>
    <col min="64" max="64" width="7.109375" style="18" customWidth="1"/>
    <col min="65" max="16384" width="8.88671875" style="18"/>
  </cols>
  <sheetData>
    <row r="1" spans="1:64">
      <c r="A1" s="21"/>
      <c r="B1" s="20" t="s">
        <v>270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9"/>
      <c r="O1" s="19"/>
    </row>
    <row r="2" spans="1:64" ht="16.5" customHeight="1">
      <c r="A2" s="279" t="s">
        <v>0</v>
      </c>
      <c r="B2" s="279" t="s">
        <v>162</v>
      </c>
      <c r="C2" s="279" t="s">
        <v>254</v>
      </c>
      <c r="D2" s="279" t="s">
        <v>254</v>
      </c>
      <c r="E2" s="279" t="s">
        <v>254</v>
      </c>
      <c r="F2" s="279" t="s">
        <v>254</v>
      </c>
      <c r="G2" s="279" t="s">
        <v>254</v>
      </c>
      <c r="H2" s="279" t="s">
        <v>254</v>
      </c>
      <c r="I2" s="279" t="s">
        <v>254</v>
      </c>
      <c r="J2" s="279" t="s">
        <v>254</v>
      </c>
      <c r="K2" s="279" t="s">
        <v>254</v>
      </c>
      <c r="L2" s="285" t="s">
        <v>163</v>
      </c>
      <c r="M2" s="286"/>
      <c r="N2" s="286"/>
      <c r="O2" s="287"/>
      <c r="P2" s="288" t="s">
        <v>164</v>
      </c>
      <c r="Q2" s="289"/>
      <c r="R2" s="289"/>
      <c r="S2" s="290"/>
      <c r="T2" s="277" t="s">
        <v>165</v>
      </c>
      <c r="U2" s="278"/>
      <c r="V2" s="278"/>
      <c r="W2" s="291"/>
      <c r="X2" s="277" t="s">
        <v>166</v>
      </c>
      <c r="Y2" s="278"/>
      <c r="Z2" s="295" t="s">
        <v>167</v>
      </c>
      <c r="AA2" s="292" t="s">
        <v>255</v>
      </c>
      <c r="AB2" s="292"/>
      <c r="AC2" s="292"/>
      <c r="AD2" s="292"/>
      <c r="AE2" s="292" t="s">
        <v>256</v>
      </c>
      <c r="AF2" s="292"/>
      <c r="AG2" s="292"/>
      <c r="AH2" s="292"/>
      <c r="AI2" s="292" t="s">
        <v>258</v>
      </c>
      <c r="AJ2" s="292"/>
      <c r="AK2" s="292"/>
      <c r="AL2" s="292"/>
      <c r="AM2" s="292" t="s">
        <v>257</v>
      </c>
      <c r="AN2" s="292"/>
      <c r="AO2" s="292"/>
      <c r="AP2" s="292"/>
      <c r="AQ2" s="292" t="s">
        <v>260</v>
      </c>
      <c r="AR2" s="292"/>
      <c r="AS2" s="292"/>
      <c r="AT2" s="292"/>
      <c r="AU2" s="292" t="s">
        <v>262</v>
      </c>
      <c r="AV2" s="292"/>
      <c r="AW2" s="292"/>
      <c r="AX2" s="292"/>
      <c r="AY2" s="292" t="s">
        <v>263</v>
      </c>
      <c r="AZ2" s="292"/>
      <c r="BA2" s="292"/>
      <c r="BB2" s="292"/>
      <c r="BC2" s="293" t="s">
        <v>264</v>
      </c>
      <c r="BD2" s="281" t="s">
        <v>265</v>
      </c>
      <c r="BE2" s="281"/>
      <c r="BF2" s="293" t="s">
        <v>268</v>
      </c>
      <c r="BG2" s="281" t="s">
        <v>265</v>
      </c>
      <c r="BH2" s="281"/>
      <c r="BI2" s="282" t="s">
        <v>269</v>
      </c>
      <c r="BJ2" s="283"/>
      <c r="BK2" s="283"/>
      <c r="BL2" s="284"/>
    </row>
    <row r="3" spans="1:64" ht="25.5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2" t="s">
        <v>168</v>
      </c>
      <c r="M3" s="22" t="s">
        <v>169</v>
      </c>
      <c r="N3" s="23" t="s">
        <v>170</v>
      </c>
      <c r="O3" s="23" t="s">
        <v>171</v>
      </c>
      <c r="P3" s="22" t="s">
        <v>168</v>
      </c>
      <c r="Q3" s="22" t="s">
        <v>169</v>
      </c>
      <c r="R3" s="23" t="s">
        <v>170</v>
      </c>
      <c r="S3" s="24" t="s">
        <v>171</v>
      </c>
      <c r="T3" s="25" t="s">
        <v>168</v>
      </c>
      <c r="U3" s="25" t="s">
        <v>169</v>
      </c>
      <c r="V3" s="24" t="s">
        <v>170</v>
      </c>
      <c r="W3" s="26" t="s">
        <v>171</v>
      </c>
      <c r="X3" s="13" t="s">
        <v>172</v>
      </c>
      <c r="Y3" s="14" t="s">
        <v>173</v>
      </c>
      <c r="Z3" s="296"/>
      <c r="AA3" s="63" t="s">
        <v>168</v>
      </c>
      <c r="AB3" s="63" t="s">
        <v>169</v>
      </c>
      <c r="AC3" s="64" t="s">
        <v>170</v>
      </c>
      <c r="AD3" s="64" t="s">
        <v>171</v>
      </c>
      <c r="AE3" s="63" t="s">
        <v>168</v>
      </c>
      <c r="AF3" s="63" t="s">
        <v>169</v>
      </c>
      <c r="AG3" s="64" t="s">
        <v>170</v>
      </c>
      <c r="AH3" s="64" t="s">
        <v>171</v>
      </c>
      <c r="AI3" s="63" t="s">
        <v>168</v>
      </c>
      <c r="AJ3" s="63" t="s">
        <v>169</v>
      </c>
      <c r="AK3" s="64" t="s">
        <v>170</v>
      </c>
      <c r="AL3" s="64" t="s">
        <v>171</v>
      </c>
      <c r="AM3" s="63" t="s">
        <v>168</v>
      </c>
      <c r="AN3" s="63" t="s">
        <v>169</v>
      </c>
      <c r="AO3" s="64" t="s">
        <v>170</v>
      </c>
      <c r="AP3" s="64" t="s">
        <v>171</v>
      </c>
      <c r="AQ3" s="63" t="s">
        <v>168</v>
      </c>
      <c r="AR3" s="63" t="s">
        <v>169</v>
      </c>
      <c r="AS3" s="64" t="s">
        <v>170</v>
      </c>
      <c r="AT3" s="64" t="s">
        <v>171</v>
      </c>
      <c r="AU3" s="63" t="s">
        <v>168</v>
      </c>
      <c r="AV3" s="63" t="s">
        <v>169</v>
      </c>
      <c r="AW3" s="64" t="s">
        <v>170</v>
      </c>
      <c r="AX3" s="64" t="s">
        <v>171</v>
      </c>
      <c r="AY3" s="63" t="s">
        <v>168</v>
      </c>
      <c r="AZ3" s="63" t="s">
        <v>169</v>
      </c>
      <c r="BA3" s="64" t="s">
        <v>170</v>
      </c>
      <c r="BB3" s="64" t="s">
        <v>171</v>
      </c>
      <c r="BC3" s="294"/>
      <c r="BD3" s="88" t="s">
        <v>266</v>
      </c>
      <c r="BE3" s="88" t="s">
        <v>267</v>
      </c>
      <c r="BF3" s="294"/>
      <c r="BG3" s="88" t="s">
        <v>266</v>
      </c>
      <c r="BH3" s="88" t="s">
        <v>267</v>
      </c>
      <c r="BI3" s="63" t="s">
        <v>168</v>
      </c>
      <c r="BJ3" s="63" t="s">
        <v>169</v>
      </c>
      <c r="BK3" s="64" t="s">
        <v>170</v>
      </c>
      <c r="BL3" s="65" t="s">
        <v>171</v>
      </c>
    </row>
    <row r="4" spans="1:64">
      <c r="A4" s="27" t="s">
        <v>174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29"/>
      <c r="N4" s="29"/>
      <c r="O4" s="30"/>
      <c r="P4" s="30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</row>
    <row r="5" spans="1:64">
      <c r="A5" s="52"/>
      <c r="B5" s="53" t="s">
        <v>175</v>
      </c>
      <c r="C5" s="53"/>
      <c r="D5" s="53"/>
      <c r="E5" s="53"/>
      <c r="F5" s="53"/>
      <c r="G5" s="53"/>
      <c r="H5" s="53"/>
      <c r="I5" s="53"/>
      <c r="J5" s="53"/>
      <c r="K5" s="53"/>
      <c r="L5" s="54">
        <f t="shared" ref="L5:AA5" si="0">SUBTOTAL(9,L7:L800)</f>
        <v>2107</v>
      </c>
      <c r="M5" s="54">
        <f t="shared" si="0"/>
        <v>3101</v>
      </c>
      <c r="N5" s="54">
        <f t="shared" si="0"/>
        <v>1330</v>
      </c>
      <c r="O5" s="54">
        <f t="shared" si="0"/>
        <v>6538</v>
      </c>
      <c r="P5" s="54">
        <f t="shared" si="0"/>
        <v>210</v>
      </c>
      <c r="Q5" s="54">
        <f t="shared" si="0"/>
        <v>196</v>
      </c>
      <c r="R5" s="54">
        <f t="shared" si="0"/>
        <v>81</v>
      </c>
      <c r="S5" s="54">
        <f t="shared" si="0"/>
        <v>487</v>
      </c>
      <c r="T5" s="54">
        <f t="shared" si="0"/>
        <v>6</v>
      </c>
      <c r="U5" s="54">
        <f t="shared" si="0"/>
        <v>15</v>
      </c>
      <c r="V5" s="54">
        <f t="shared" si="0"/>
        <v>6</v>
      </c>
      <c r="W5" s="54">
        <f t="shared" si="0"/>
        <v>27</v>
      </c>
      <c r="X5" s="54">
        <f t="shared" si="0"/>
        <v>46</v>
      </c>
      <c r="Y5" s="54">
        <f t="shared" si="0"/>
        <v>1148</v>
      </c>
      <c r="Z5" s="54">
        <f t="shared" si="0"/>
        <v>18</v>
      </c>
      <c r="AA5" s="54">
        <f t="shared" si="0"/>
        <v>2627</v>
      </c>
      <c r="AB5" s="54">
        <f t="shared" ref="AB5:BH5" si="1">SUBTOTAL(9,AB7:AB800)</f>
        <v>3239</v>
      </c>
      <c r="AC5" s="54">
        <f t="shared" si="1"/>
        <v>1373</v>
      </c>
      <c r="AD5" s="54">
        <f t="shared" si="1"/>
        <v>7239</v>
      </c>
      <c r="AE5" s="54">
        <f t="shared" si="1"/>
        <v>520</v>
      </c>
      <c r="AF5" s="54">
        <f t="shared" si="1"/>
        <v>138</v>
      </c>
      <c r="AG5" s="54">
        <f t="shared" si="1"/>
        <v>43</v>
      </c>
      <c r="AH5" s="54">
        <f t="shared" si="1"/>
        <v>701</v>
      </c>
      <c r="AI5" s="54">
        <f t="shared" si="1"/>
        <v>414.7</v>
      </c>
      <c r="AJ5" s="54">
        <f t="shared" si="1"/>
        <v>378.22500000000002</v>
      </c>
      <c r="AK5" s="54">
        <f t="shared" si="1"/>
        <v>98.655000000000015</v>
      </c>
      <c r="AL5" s="54">
        <f t="shared" si="1"/>
        <v>891.57999999999993</v>
      </c>
      <c r="AM5" s="54">
        <f t="shared" si="1"/>
        <v>2521.6999999999998</v>
      </c>
      <c r="AN5" s="54">
        <f t="shared" si="1"/>
        <v>3479.2250000000004</v>
      </c>
      <c r="AO5" s="54">
        <f t="shared" si="1"/>
        <v>1428.6550000000002</v>
      </c>
      <c r="AP5" s="54">
        <f t="shared" si="1"/>
        <v>7429.58</v>
      </c>
      <c r="AQ5" s="54">
        <f t="shared" si="1"/>
        <v>7762856.2000000002</v>
      </c>
      <c r="AR5" s="54">
        <f t="shared" si="1"/>
        <v>12630960.399999999</v>
      </c>
      <c r="AS5" s="54">
        <f t="shared" si="1"/>
        <v>3532189.8849999998</v>
      </c>
      <c r="AT5" s="54">
        <f t="shared" si="1"/>
        <v>23926006.484999999</v>
      </c>
      <c r="AU5" s="54">
        <f t="shared" si="1"/>
        <v>492489.8</v>
      </c>
      <c r="AV5" s="54">
        <f t="shared" si="1"/>
        <v>512616.6</v>
      </c>
      <c r="AW5" s="54">
        <f t="shared" si="1"/>
        <v>161365.55999999997</v>
      </c>
      <c r="AX5" s="54">
        <f t="shared" si="1"/>
        <v>1166471.96</v>
      </c>
      <c r="AY5" s="54">
        <f t="shared" si="1"/>
        <v>8255345.9999999991</v>
      </c>
      <c r="AZ5" s="54">
        <f t="shared" si="1"/>
        <v>13143577</v>
      </c>
      <c r="BA5" s="54">
        <f t="shared" si="1"/>
        <v>3693555.4449999994</v>
      </c>
      <c r="BB5" s="54">
        <f t="shared" si="1"/>
        <v>25092478.445000004</v>
      </c>
      <c r="BC5" s="54">
        <f t="shared" si="1"/>
        <v>26065110</v>
      </c>
      <c r="BD5" s="54">
        <f t="shared" si="1"/>
        <v>33509107</v>
      </c>
      <c r="BE5" s="54">
        <f t="shared" si="1"/>
        <v>-7443997</v>
      </c>
      <c r="BF5" s="54">
        <f t="shared" si="1"/>
        <v>-128676.6449999999</v>
      </c>
      <c r="BG5" s="54">
        <f t="shared" si="1"/>
        <v>11862798.75</v>
      </c>
      <c r="BH5" s="54">
        <f t="shared" si="1"/>
        <v>-11991475.395000001</v>
      </c>
      <c r="BI5" s="90">
        <f t="shared" ref="BI5" si="2">IF(L5=0,"",L5/P5)</f>
        <v>10.033333333333333</v>
      </c>
      <c r="BJ5" s="90">
        <f t="shared" ref="BJ5" si="3">IF(M5=0,"",M5/Q5)</f>
        <v>15.821428571428571</v>
      </c>
      <c r="BK5" s="90">
        <f t="shared" ref="BK5" si="4">IF(N5=0,"",N5/R5)</f>
        <v>16.419753086419753</v>
      </c>
      <c r="BL5" s="90">
        <f t="shared" ref="BL5" si="5">IF(O5=0,"",O5/S5)</f>
        <v>13.425051334702259</v>
      </c>
    </row>
    <row r="6" spans="1:64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9"/>
      <c r="M6" s="32"/>
      <c r="N6" s="29"/>
      <c r="O6" s="33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</row>
    <row r="7" spans="1:64" s="59" customFormat="1" ht="18.75">
      <c r="A7" s="38">
        <v>1</v>
      </c>
      <c r="B7" s="39" t="s">
        <v>46</v>
      </c>
      <c r="C7" s="40" t="s">
        <v>181</v>
      </c>
      <c r="D7" s="56" t="s">
        <v>33</v>
      </c>
      <c r="E7" s="56" t="s">
        <v>233</v>
      </c>
      <c r="F7" s="58"/>
      <c r="G7" s="58"/>
      <c r="H7" s="58"/>
      <c r="I7" s="58"/>
      <c r="J7" s="58"/>
      <c r="K7" s="58"/>
      <c r="L7" s="41">
        <f>SUMIF('прогноз на 20.05.12'!$C$7:$C$83,$C7,'прогноз на 20.05.12'!D$7:D$83)+SUMIF('прогноз на 20.05.12'!$C$7:$C$83,$E7,'прогноз на 20.05.12'!D$7:D$83)+SUMIF('прогноз на 20.05.12'!$C$7:$C$83,$G7,'прогноз на 20.05.12'!D$7:D$83)+SUMIF('прогноз на 20.05.12'!$C$7:$C$83,$I7,'прогноз на 20.05.12'!D$7:D$83)+SUMIF('прогноз на 20.05.12'!$C$7:$C$83,$K7,'прогноз на 20.05.12'!D$7:D$83)</f>
        <v>33</v>
      </c>
      <c r="M7" s="41">
        <f>SUMIF('прогноз на 20.05.12'!$C$7:$C$83,$C7,'прогноз на 20.05.12'!E$7:E$83)+SUMIF('прогноз на 20.05.12'!$C$7:$C$83,$E7,'прогноз на 20.05.12'!E$7:E$83)+SUMIF('прогноз на 20.05.12'!$C$7:$C$83,$G7,'прогноз на 20.05.12'!E$7:E$83)+SUMIF('прогноз на 20.05.12'!$C$7:$C$83,$I7,'прогноз на 20.05.12'!E$7:E$83)+SUMIF('прогноз на 20.05.12'!$C$7:$C$83,$K7,'прогноз на 20.05.12'!E$7:E$83)</f>
        <v>49</v>
      </c>
      <c r="N7" s="41">
        <f>SUMIF('прогноз на 20.05.12'!$C$7:$C$83,$C7,'прогноз на 20.05.12'!F$7:F$83)+SUMIF('прогноз на 20.05.12'!$C$7:$C$83,$E7,'прогноз на 20.05.12'!F$7:F$83)+SUMIF('прогноз на 20.05.12'!$C$7:$C$83,$G7,'прогноз на 20.05.12'!F$7:F$83)+SUMIF('прогноз на 20.05.12'!$C$7:$C$83,$I7,'прогноз на 20.05.12'!F$7:F$83)+SUMIF('прогноз на 20.05.12'!$C$7:$C$83,$K7,'прогноз на 20.05.12'!F$7:F$83)</f>
        <v>29</v>
      </c>
      <c r="O7" s="44">
        <f t="shared" ref="O7:O38" si="6">L7+M7+N7</f>
        <v>111</v>
      </c>
      <c r="P7" s="41">
        <f>SUMIF('прогноз на 20.05.12'!$C$7:$C$83,$C7,'прогноз на 20.05.12'!H$7:H$83)+SUMIF('прогноз на 20.05.12'!$C$7:$C$83,$E7,'прогноз на 20.05.12'!H$7:H$83)+SUMIF('прогноз на 20.05.12'!$C$7:$C$83,$G7,'прогноз на 20.05.12'!H$7:H$83)+SUMIF('прогноз на 20.05.12'!$C$7:$C$83,$I7,'прогноз на 20.05.12'!H$7:H$83)+SUMIF('прогноз на 20.05.12'!$C$7:$C$83,$K7,'прогноз на 20.05.12'!H$7:H$83)</f>
        <v>3</v>
      </c>
      <c r="Q7" s="41">
        <f>SUMIF('прогноз на 20.05.12'!$C$7:$C$83,$C7,'прогноз на 20.05.12'!I$7:I$83)+SUMIF('прогноз на 20.05.12'!$C$7:$C$83,$E7,'прогноз на 20.05.12'!I$7:I$83)+SUMIF('прогноз на 20.05.12'!$C$7:$C$83,$G7,'прогноз на 20.05.12'!I$7:I$83)+SUMIF('прогноз на 20.05.12'!$C$7:$C$83,$I7,'прогноз на 20.05.12'!I$7:I$83)+SUMIF('прогноз на 20.05.12'!$C$7:$C$83,$K7,'прогноз на 20.05.12'!I$7:I$83)</f>
        <v>5</v>
      </c>
      <c r="R7" s="41">
        <f>SUMIF('прогноз на 20.05.12'!$C$7:$C$83,$C7,'прогноз на 20.05.12'!J$7:J$83)+SUMIF('прогноз на 20.05.12'!$C$7:$C$83,$E7,'прогноз на 20.05.12'!J$7:J$83)+SUMIF('прогноз на 20.05.12'!$C$7:$C$83,$G7,'прогноз на 20.05.12'!J$7:J$83)+SUMIF('прогноз на 20.05.12'!$C$7:$C$83,$I7,'прогноз на 20.05.12'!J$7:J$83)+SUMIF('прогноз на 20.05.12'!$C$7:$C$83,$K7,'прогноз на 20.05.12'!J$7:J$83)</f>
        <v>2</v>
      </c>
      <c r="S7" s="45">
        <f t="shared" ref="S7:S34" si="7">P7+Q7+R7</f>
        <v>10</v>
      </c>
      <c r="T7" s="41">
        <f>SUMIF('прогноз на 20.05.12'!$C$7:$C$83,$C7,'прогноз на 20.05.12'!L$7:L$83)+SUMIF('прогноз на 20.05.12'!$C$7:$C$83,$E7,'прогноз на 20.05.12'!L$7:L$83)+SUMIF('прогноз на 20.05.12'!$C$7:$C$83,$G7,'прогноз на 20.05.12'!L$7:L$83)+SUMIF('прогноз на 20.05.12'!$C$7:$C$83,$I7,'прогноз на 20.05.12'!L$7:L$83)+SUMIF('прогноз на 20.05.12'!$C$7:$C$83,$K7,'прогноз на 20.05.12'!L$7:L$83)</f>
        <v>0</v>
      </c>
      <c r="U7" s="41">
        <f>SUMIF('прогноз на 20.05.12'!$C$7:$C$83,$C7,'прогноз на 20.05.12'!M$7:M$83)+SUMIF('прогноз на 20.05.12'!$C$7:$C$83,$E7,'прогноз на 20.05.12'!M$7:M$83)+SUMIF('прогноз на 20.05.12'!$C$7:$C$83,$G7,'прогноз на 20.05.12'!M$7:M$83)+SUMIF('прогноз на 20.05.12'!$C$7:$C$83,$I7,'прогноз на 20.05.12'!M$7:M$83)+SUMIF('прогноз на 20.05.12'!$C$7:$C$83,$K7,'прогноз на 20.05.12'!M$7:M$83)</f>
        <v>1</v>
      </c>
      <c r="V7" s="41">
        <f>SUMIF('прогноз на 20.05.12'!$C$7:$C$83,$C7,'прогноз на 20.05.12'!N$7:N$83)+SUMIF('прогноз на 20.05.12'!$C$7:$C$83,$E7,'прогноз на 20.05.12'!N$7:N$83)+SUMIF('прогноз на 20.05.12'!$C$7:$C$83,$G7,'прогноз на 20.05.12'!N$7:N$83)+SUMIF('прогноз на 20.05.12'!$C$7:$C$83,$I7,'прогноз на 20.05.12'!N$7:N$83)+SUMIF('прогноз на 20.05.12'!$C$7:$C$83,$K7,'прогноз на 20.05.12'!N$7:N$83)</f>
        <v>0</v>
      </c>
      <c r="W7" s="45">
        <f t="shared" ref="W7:W34" si="8">T7+U7+V7</f>
        <v>1</v>
      </c>
      <c r="X7" s="41">
        <f>SUMIF('прогноз на 20.05.12'!$C$7:$C$83,$C7,'прогноз на 20.05.12'!P$7:P$83)+SUMIF('прогноз на 20.05.12'!$C$7:$C$83,$E7,'прогноз на 20.05.12'!P$7:P$83)+SUMIF('прогноз на 20.05.12'!$C$7:$C$83,$G7,'прогноз на 20.05.12'!P$7:P$83)+SUMIF('прогноз на 20.05.12'!$C$7:$C$83,$I7,'прогноз на 20.05.12'!P$7:P$83)+SUMIF('прогноз на 20.05.12'!$C$7:$C$83,$K7,'прогноз на 20.05.12'!P$7:P$83)</f>
        <v>1</v>
      </c>
      <c r="Y7" s="41">
        <f>SUMIF('прогноз на 20.05.12'!$C$7:$C$83,$C7,'прогноз на 20.05.12'!Q$7:Q$83)+SUMIF('прогноз на 20.05.12'!$C$7:$C$83,$E7,'прогноз на 20.05.12'!Q$7:Q$83)+SUMIF('прогноз на 20.05.12'!$C$7:$C$83,$G7,'прогноз на 20.05.12'!Q$7:Q$83)+SUMIF('прогноз на 20.05.12'!$C$7:$C$83,$I7,'прогноз на 20.05.12'!Q$7:Q$83)+SUMIF('прогноз на 20.05.12'!$C$7:$C$83,$K7,'прогноз на 20.05.12'!Q$7:Q$83)</f>
        <v>25</v>
      </c>
      <c r="Z7" s="41">
        <f>SUMIF('прогноз на 20.05.12'!$C$7:$C$83,$C7,'прогноз на 20.05.12'!R$7:R$83)+SUMIF('прогноз на 20.05.12'!$C$7:$C$83,$E7,'прогноз на 20.05.12'!R$7:R$83)+SUMIF('прогноз на 20.05.12'!$C$7:$C$83,$G7,'прогноз на 20.05.12'!R$7:R$83)+SUMIF('прогноз на 20.05.12'!$C$7:$C$83,$I7,'прогноз на 20.05.12'!R$7:R$83)+SUMIF('прогноз на 20.05.12'!$C$7:$C$83,$K7,'прогноз на 20.05.12'!R$7:R$83)</f>
        <v>0</v>
      </c>
      <c r="AA7" s="41">
        <f>SUMIF('прогноз на 20.05.12'!$C$7:$C$83,$C7,'прогноз на 20.05.12'!S$7:S$83)+SUMIF('прогноз на 20.05.12'!$C$7:$C$83,$E7,'прогноз на 20.05.12'!S$7:S$83)+SUMIF('прогноз на 20.05.12'!$C$7:$C$83,$G7,'прогноз на 20.05.12'!S$7:S$83)+SUMIF('прогноз на 20.05.12'!$C$7:$C$83,$I7,'прогноз на 20.05.12'!S$7:S$83)+SUMIF('прогноз на 20.05.12'!$C$7:$C$83,$K7,'прогноз на 20.05.12'!S$7:S$83)</f>
        <v>36</v>
      </c>
      <c r="AB7" s="41">
        <f>SUMIF('прогноз на 20.05.12'!$C$7:$C$83,$C7,'прогноз на 20.05.12'!T$7:T$83)+SUMIF('прогноз на 20.05.12'!$C$7:$C$83,$E7,'прогноз на 20.05.12'!T$7:T$83)+SUMIF('прогноз на 20.05.12'!$C$7:$C$83,$G7,'прогноз на 20.05.12'!T$7:T$83)+SUMIF('прогноз на 20.05.12'!$C$7:$C$83,$I7,'прогноз на 20.05.12'!T$7:T$83)+SUMIF('прогноз на 20.05.12'!$C$7:$C$83,$K7,'прогноз на 20.05.12'!T$7:T$83)</f>
        <v>70</v>
      </c>
      <c r="AC7" s="41">
        <f>SUMIF('прогноз на 20.05.12'!$C$7:$C$83,$C7,'прогноз на 20.05.12'!U$7:U$83)+SUMIF('прогноз на 20.05.12'!$C$7:$C$83,$E7,'прогноз на 20.05.12'!U$7:U$83)+SUMIF('прогноз на 20.05.12'!$C$7:$C$83,$G7,'прогноз на 20.05.12'!U$7:U$83)+SUMIF('прогноз на 20.05.12'!$C$7:$C$83,$I7,'прогноз на 20.05.12'!U$7:U$83)+SUMIF('прогноз на 20.05.12'!$C$7:$C$83,$K7,'прогноз на 20.05.12'!U$7:U$83)</f>
        <v>28</v>
      </c>
      <c r="AD7" s="41">
        <f>SUMIF('прогноз на 20.05.12'!$C$7:$C$83,$C7,'прогноз на 20.05.12'!V$7:V$83)+SUMIF('прогноз на 20.05.12'!$C$7:$C$83,$E7,'прогноз на 20.05.12'!V$7:V$83)+SUMIF('прогноз на 20.05.12'!$C$7:$C$83,$G7,'прогноз на 20.05.12'!V$7:V$83)+SUMIF('прогноз на 20.05.12'!$C$7:$C$83,$I7,'прогноз на 20.05.12'!V$7:V$83)+SUMIF('прогноз на 20.05.12'!$C$7:$C$83,$K7,'прогноз на 20.05.12'!V$7:V$83)</f>
        <v>134</v>
      </c>
      <c r="AE7" s="41">
        <f>SUMIF('прогноз на 20.05.12'!$C$7:$C$83,$C7,'прогноз на 20.05.12'!W$7:W$83)+SUMIF('прогноз на 20.05.12'!$C$7:$C$83,$E7,'прогноз на 20.05.12'!W$7:W$83)+SUMIF('прогноз на 20.05.12'!$C$7:$C$83,$G7,'прогноз на 20.05.12'!W$7:W$83)+SUMIF('прогноз на 20.05.12'!$C$7:$C$83,$I7,'прогноз на 20.05.12'!W$7:W$83)+SUMIF('прогноз на 20.05.12'!$C$7:$C$83,$K7,'прогноз на 20.05.12'!W$7:W$83)</f>
        <v>3</v>
      </c>
      <c r="AF7" s="41">
        <f>SUMIF('прогноз на 20.05.12'!$C$7:$C$83,$C7,'прогноз на 20.05.12'!X$7:X$83)+SUMIF('прогноз на 20.05.12'!$C$7:$C$83,$E7,'прогноз на 20.05.12'!X$7:X$83)+SUMIF('прогноз на 20.05.12'!$C$7:$C$83,$G7,'прогноз на 20.05.12'!X$7:X$83)+SUMIF('прогноз на 20.05.12'!$C$7:$C$83,$I7,'прогноз на 20.05.12'!X$7:X$83)+SUMIF('прогноз на 20.05.12'!$C$7:$C$83,$K7,'прогноз на 20.05.12'!X$7:X$83)</f>
        <v>21</v>
      </c>
      <c r="AG7" s="41">
        <f>SUMIF('прогноз на 20.05.12'!$C$7:$C$83,$C7,'прогноз на 20.05.12'!Y$7:Y$83)+SUMIF('прогноз на 20.05.12'!$C$7:$C$83,$E7,'прогноз на 20.05.12'!Y$7:Y$83)+SUMIF('прогноз на 20.05.12'!$C$7:$C$83,$G7,'прогноз на 20.05.12'!Y$7:Y$83)+SUMIF('прогноз на 20.05.12'!$C$7:$C$83,$I7,'прогноз на 20.05.12'!Y$7:Y$83)+SUMIF('прогноз на 20.05.12'!$C$7:$C$83,$K7,'прогноз на 20.05.12'!Y$7:Y$83)</f>
        <v>-1</v>
      </c>
      <c r="AH7" s="41">
        <f>SUMIF('прогноз на 20.05.12'!$C$7:$C$83,$C7,'прогноз на 20.05.12'!Z$7:Z$83)+SUMIF('прогноз на 20.05.12'!$C$7:$C$83,$E7,'прогноз на 20.05.12'!Z$7:Z$83)+SUMIF('прогноз на 20.05.12'!$C$7:$C$83,$G7,'прогноз на 20.05.12'!Z$7:Z$83)+SUMIF('прогноз на 20.05.12'!$C$7:$C$83,$I7,'прогноз на 20.05.12'!Z$7:Z$83)+SUMIF('прогноз на 20.05.12'!$C$7:$C$83,$K7,'прогноз на 20.05.12'!Z$7:Z$83)</f>
        <v>23</v>
      </c>
      <c r="AI7" s="41">
        <f>SUMIF('прогноз на 20.05.12'!$C$7:$C$83,$C7,'прогноз на 20.05.12'!AA$7:AA$83)+SUMIF('прогноз на 20.05.12'!$C$7:$C$83,$E7,'прогноз на 20.05.12'!AA$7:AA$83)+SUMIF('прогноз на 20.05.12'!$C$7:$C$83,$G7,'прогноз на 20.05.12'!AA$7:AA$83)+SUMIF('прогноз на 20.05.12'!$C$7:$C$83,$I7,'прогноз на 20.05.12'!AA$7:AA$83)+SUMIF('прогноз на 20.05.12'!$C$7:$C$83,$K7,'прогноз на 20.05.12'!AA$7:AA$83)</f>
        <v>2.25</v>
      </c>
      <c r="AJ7" s="41">
        <f>SUMIF('прогноз на 20.05.12'!$C$7:$C$83,$C7,'прогноз на 20.05.12'!AB$7:AB$83)+SUMIF('прогноз на 20.05.12'!$C$7:$C$83,$E7,'прогноз на 20.05.12'!AB$7:AB$83)+SUMIF('прогноз на 20.05.12'!$C$7:$C$83,$G7,'прогноз на 20.05.12'!AB$7:AB$83)+SUMIF('прогноз на 20.05.12'!$C$7:$C$83,$I7,'прогноз на 20.05.12'!AB$7:AB$83)+SUMIF('прогноз на 20.05.12'!$C$7:$C$83,$K7,'прогноз на 20.05.12'!AB$7:AB$83)</f>
        <v>15.75</v>
      </c>
      <c r="AK7" s="41">
        <f>SUMIF('прогноз на 20.05.12'!$C$7:$C$83,$C7,'прогноз на 20.05.12'!AC$7:AC$83)+SUMIF('прогноз на 20.05.12'!$C$7:$C$83,$E7,'прогноз на 20.05.12'!AC$7:AC$83)+SUMIF('прогноз на 20.05.12'!$C$7:$C$83,$G7,'прогноз на 20.05.12'!AC$7:AC$83)+SUMIF('прогноз на 20.05.12'!$C$7:$C$83,$I7,'прогноз на 20.05.12'!AC$7:AC$83)+SUMIF('прогноз на 20.05.12'!$C$7:$C$83,$K7,'прогноз на 20.05.12'!AC$7:AC$83)</f>
        <v>0.2</v>
      </c>
      <c r="AL7" s="41">
        <f>SUMIF('прогноз на 20.05.12'!$C$7:$C$83,$C7,'прогноз на 20.05.12'!AD$7:AD$83)+SUMIF('прогноз на 20.05.12'!$C$7:$C$83,$E7,'прогноз на 20.05.12'!AD$7:AD$83)+SUMIF('прогноз на 20.05.12'!$C$7:$C$83,$G7,'прогноз на 20.05.12'!AD$7:AD$83)+SUMIF('прогноз на 20.05.12'!$C$7:$C$83,$I7,'прогноз на 20.05.12'!AD$7:AD$83)+SUMIF('прогноз на 20.05.12'!$C$7:$C$83,$K7,'прогноз на 20.05.12'!AD$7:AD$83)</f>
        <v>18.2</v>
      </c>
      <c r="AM7" s="41">
        <f>SUMIF('прогноз на 20.05.12'!$C$7:$C$83,$C7,'прогноз на 20.05.12'!AE$7:AE$83)+SUMIF('прогноз на 20.05.12'!$C$7:$C$83,$E7,'прогноз на 20.05.12'!AE$7:AE$83)+SUMIF('прогноз на 20.05.12'!$C$7:$C$83,$G7,'прогноз на 20.05.12'!AE$7:AE$83)+SUMIF('прогноз на 20.05.12'!$C$7:$C$83,$I7,'прогноз на 20.05.12'!AE$7:AE$83)+SUMIF('прогноз на 20.05.12'!$C$7:$C$83,$K7,'прогноз на 20.05.12'!AE$7:AE$83)</f>
        <v>35.25</v>
      </c>
      <c r="AN7" s="41">
        <f>SUMIF('прогноз на 20.05.12'!$C$7:$C$83,$C7,'прогноз на 20.05.12'!AF$7:AF$83)+SUMIF('прогноз на 20.05.12'!$C$7:$C$83,$E7,'прогноз на 20.05.12'!AF$7:AF$83)+SUMIF('прогноз на 20.05.12'!$C$7:$C$83,$G7,'прогноз на 20.05.12'!AF$7:AF$83)+SUMIF('прогноз на 20.05.12'!$C$7:$C$83,$I7,'прогноз на 20.05.12'!AF$7:AF$83)+SUMIF('прогноз на 20.05.12'!$C$7:$C$83,$K7,'прогноз на 20.05.12'!AF$7:AF$83)</f>
        <v>64.75</v>
      </c>
      <c r="AO7" s="41">
        <f>SUMIF('прогноз на 20.05.12'!$C$7:$C$83,$C7,'прогноз на 20.05.12'!AG$7:AG$83)+SUMIF('прогноз на 20.05.12'!$C$7:$C$83,$E7,'прогноз на 20.05.12'!AG$7:AG$83)+SUMIF('прогноз на 20.05.12'!$C$7:$C$83,$G7,'прогноз на 20.05.12'!AG$7:AG$83)+SUMIF('прогноз на 20.05.12'!$C$7:$C$83,$I7,'прогноз на 20.05.12'!AG$7:AG$83)+SUMIF('прогноз на 20.05.12'!$C$7:$C$83,$K7,'прогноз на 20.05.12'!AG$7:AG$83)</f>
        <v>29.2</v>
      </c>
      <c r="AP7" s="41">
        <f>SUMIF('прогноз на 20.05.12'!$C$7:$C$83,$C7,'прогноз на 20.05.12'!AH$7:AH$83)+SUMIF('прогноз на 20.05.12'!$C$7:$C$83,$E7,'прогноз на 20.05.12'!AH$7:AH$83)+SUMIF('прогноз на 20.05.12'!$C$7:$C$83,$G7,'прогноз на 20.05.12'!AH$7:AH$83)+SUMIF('прогноз на 20.05.12'!$C$7:$C$83,$I7,'прогноз на 20.05.12'!AH$7:AH$83)+SUMIF('прогноз на 20.05.12'!$C$7:$C$83,$K7,'прогноз на 20.05.12'!AH$7:AH$83)</f>
        <v>129.19999999999999</v>
      </c>
      <c r="AQ7" s="41">
        <f>SUMIF('прогноз на 20.05.12'!$C$7:$C$83,$C7,'прогноз на 20.05.12'!AM$7:AM$83)+SUMIF('прогноз на 20.05.12'!$C$7:$C$83,$E7,'прогноз на 20.05.12'!AM$7:AM$83)+SUMIF('прогноз на 20.05.12'!$C$7:$C$83,$G7,'прогноз на 20.05.12'!AM$7:AM$83)+SUMIF('прогноз на 20.05.12'!$C$7:$C$83,$I7,'прогноз на 20.05.12'!AM$7:AM$83)+SUMIF('прогноз на 20.05.12'!$C$7:$C$83,$K7,'прогноз на 20.05.12'!AM$7:AM$83)</f>
        <v>44903.25</v>
      </c>
      <c r="AR7" s="41">
        <f>SUMIF('прогноз на 20.05.12'!$C$7:$C$83,$C7,'прогноз на 20.05.12'!AN$7:AN$83)+SUMIF('прогноз на 20.05.12'!$C$7:$C$83,$E7,'прогноз на 20.05.12'!AN$7:AN$83)+SUMIF('прогноз на 20.05.12'!$C$7:$C$83,$G7,'прогноз на 20.05.12'!AN$7:AN$83)+SUMIF('прогноз на 20.05.12'!$C$7:$C$83,$I7,'прогноз на 20.05.12'!AN$7:AN$83)+SUMIF('прогноз на 20.05.12'!$C$7:$C$83,$K7,'прогноз на 20.05.12'!AN$7:AN$83)</f>
        <v>535169.25</v>
      </c>
      <c r="AS7" s="41">
        <f>SUMIF('прогноз на 20.05.12'!$C$7:$C$83,$C7,'прогноз на 20.05.12'!AO$7:AO$83)+SUMIF('прогноз на 20.05.12'!$C$7:$C$83,$E7,'прогноз на 20.05.12'!AO$7:AO$83)+SUMIF('прогноз на 20.05.12'!$C$7:$C$83,$G7,'прогноз на 20.05.12'!AO$7:AO$83)+SUMIF('прогноз на 20.05.12'!$C$7:$C$83,$I7,'прогноз на 20.05.12'!AO$7:AO$83)+SUMIF('прогноз на 20.05.12'!$C$7:$C$83,$K7,'прогноз на 20.05.12'!AO$7:AO$83)</f>
        <v>7257.4000000000005</v>
      </c>
      <c r="AT7" s="41">
        <f>SUMIF('прогноз на 20.05.12'!$C$7:$C$83,$C7,'прогноз на 20.05.12'!AP$7:AP$83)+SUMIF('прогноз на 20.05.12'!$C$7:$C$83,$E7,'прогноз на 20.05.12'!AP$7:AP$83)+SUMIF('прогноз на 20.05.12'!$C$7:$C$83,$G7,'прогноз на 20.05.12'!AP$7:AP$83)+SUMIF('прогноз на 20.05.12'!$C$7:$C$83,$I7,'прогноз на 20.05.12'!AP$7:AP$83)+SUMIF('прогноз на 20.05.12'!$C$7:$C$83,$K7,'прогноз на 20.05.12'!AP$7:AP$83)</f>
        <v>587329.9</v>
      </c>
      <c r="AU7" s="41">
        <f>SUMIF('прогноз на 20.05.12'!$C$7:$C$83,$C7,'прогноз на 20.05.12'!AU$7:AU$83)+SUMIF('прогноз на 20.05.12'!$C$7:$C$83,$E7,'прогноз на 20.05.12'!AU$7:AU$83)+SUMIF('прогноз на 20.05.12'!$C$7:$C$83,$G7,'прогноз на 20.05.12'!AU$7:AU$83)+SUMIF('прогноз на 20.05.12'!$C$7:$C$83,$I7,'прогноз на 20.05.12'!AU$7:AU$83)+SUMIF('прогноз на 20.05.12'!$C$7:$C$83,$K7,'прогноз на 20.05.12'!AU$7:AU$83)</f>
        <v>2846.25</v>
      </c>
      <c r="AV7" s="41">
        <f>SUMIF('прогноз на 20.05.12'!$C$7:$C$83,$C7,'прогноз на 20.05.12'!AV$7:AV$83)+SUMIF('прогноз на 20.05.12'!$C$7:$C$83,$E7,'прогноз на 20.05.12'!AV$7:AV$83)+SUMIF('прогноз на 20.05.12'!$C$7:$C$83,$G7,'прогноз на 20.05.12'!AV$7:AV$83)+SUMIF('прогноз на 20.05.12'!$C$7:$C$83,$I7,'прогноз на 20.05.12'!AV$7:AV$83)+SUMIF('прогноз на 20.05.12'!$C$7:$C$83,$K7,'прогноз на 20.05.12'!AV$7:AV$83)</f>
        <v>22695.75</v>
      </c>
      <c r="AW7" s="41">
        <f>SUMIF('прогноз на 20.05.12'!$C$7:$C$83,$C7,'прогноз на 20.05.12'!AW$7:AW$83)+SUMIF('прогноз на 20.05.12'!$C$7:$C$83,$E7,'прогноз на 20.05.12'!AW$7:AW$83)+SUMIF('прогноз на 20.05.12'!$C$7:$C$83,$G7,'прогноз на 20.05.12'!AW$7:AW$83)+SUMIF('прогноз на 20.05.12'!$C$7:$C$83,$I7,'прогноз на 20.05.12'!AW$7:AW$83)+SUMIF('прогноз на 20.05.12'!$C$7:$C$83,$K7,'прогноз на 20.05.12'!AW$7:AW$83)</f>
        <v>365.40000000000003</v>
      </c>
      <c r="AX7" s="41">
        <f>SUMIF('прогноз на 20.05.12'!$C$7:$C$83,$C7,'прогноз на 20.05.12'!AX$7:AX$83)+SUMIF('прогноз на 20.05.12'!$C$7:$C$83,$E7,'прогноз на 20.05.12'!AX$7:AX$83)+SUMIF('прогноз на 20.05.12'!$C$7:$C$83,$G7,'прогноз на 20.05.12'!AX$7:AX$83)+SUMIF('прогноз на 20.05.12'!$C$7:$C$83,$I7,'прогноз на 20.05.12'!AX$7:AX$83)+SUMIF('прогноз на 20.05.12'!$C$7:$C$83,$K7,'прогноз на 20.05.12'!AX$7:AX$83)</f>
        <v>25907.4</v>
      </c>
      <c r="AY7" s="41">
        <f>SUMIF('прогноз на 20.05.12'!$C$7:$C$83,$C7,'прогноз на 20.05.12'!AY$7:AY$83)+SUMIF('прогноз на 20.05.12'!$C$7:$C$83,$E7,'прогноз на 20.05.12'!AY$7:AY$83)+SUMIF('прогноз на 20.05.12'!$C$7:$C$83,$G7,'прогноз на 20.05.12'!AY$7:AY$83)+SUMIF('прогноз на 20.05.12'!$C$7:$C$83,$I7,'прогноз на 20.05.12'!AY$7:AY$83)+SUMIF('прогноз на 20.05.12'!$C$7:$C$83,$K7,'прогноз на 20.05.12'!AY$7:AY$83)</f>
        <v>47749.5</v>
      </c>
      <c r="AZ7" s="41">
        <f>SUMIF('прогноз на 20.05.12'!$C$7:$C$83,$C7,'прогноз на 20.05.12'!AZ$7:AZ$83)+SUMIF('прогноз на 20.05.12'!$C$7:$C$83,$E7,'прогноз на 20.05.12'!AZ$7:AZ$83)+SUMIF('прогноз на 20.05.12'!$C$7:$C$83,$G7,'прогноз на 20.05.12'!AZ$7:AZ$83)+SUMIF('прогноз на 20.05.12'!$C$7:$C$83,$I7,'прогноз на 20.05.12'!AZ$7:AZ$83)+SUMIF('прогноз на 20.05.12'!$C$7:$C$83,$K7,'прогноз на 20.05.12'!AZ$7:AZ$83)</f>
        <v>557865</v>
      </c>
      <c r="BA7" s="41">
        <f>SUMIF('прогноз на 20.05.12'!$C$7:$C$83,$C7,'прогноз на 20.05.12'!BA$7:BA$83)+SUMIF('прогноз на 20.05.12'!$C$7:$C$83,$E7,'прогноз на 20.05.12'!BA$7:BA$83)+SUMIF('прогноз на 20.05.12'!$C$7:$C$83,$G7,'прогноз на 20.05.12'!BA$7:BA$83)+SUMIF('прогноз на 20.05.12'!$C$7:$C$83,$I7,'прогноз на 20.05.12'!BA$7:BA$83)+SUMIF('прогноз на 20.05.12'!$C$7:$C$83,$K7,'прогноз на 20.05.12'!BA$7:BA$83)</f>
        <v>7622.8</v>
      </c>
      <c r="BB7" s="41">
        <f>SUMIF('прогноз на 20.05.12'!$C$7:$C$83,$C7,'прогноз на 20.05.12'!BB$7:BB$83)+SUMIF('прогноз на 20.05.12'!$C$7:$C$83,$E7,'прогноз на 20.05.12'!BB$7:BB$83)+SUMIF('прогноз на 20.05.12'!$C$7:$C$83,$G7,'прогноз на 20.05.12'!BB$7:BB$83)+SUMIF('прогноз на 20.05.12'!$C$7:$C$83,$I7,'прогноз на 20.05.12'!BB$7:BB$83)+SUMIF('прогноз на 20.05.12'!$C$7:$C$83,$K7,'прогноз на 20.05.12'!BB$7:BB$83)</f>
        <v>613237.30000000005</v>
      </c>
      <c r="BC7" s="41">
        <f>SUMIF('прогноз на 20.05.12'!$C$7:$C$83,$C7,'прогноз на 20.05.12'!BC$7:BC$83)+SUMIF('прогноз на 20.05.12'!$C$7:$C$83,$E7,'прогноз на 20.05.12'!BC$7:BC$83)+SUMIF('прогноз на 20.05.12'!$C$7:$C$83,$G7,'прогноз на 20.05.12'!BC$7:BC$83)+SUMIF('прогноз на 20.05.12'!$C$7:$C$83,$I7,'прогноз на 20.05.12'!BC$7:BC$83)+SUMIF('прогноз на 20.05.12'!$C$7:$C$83,$K7,'прогноз на 20.05.12'!BC$7:BC$83)</f>
        <v>844442</v>
      </c>
      <c r="BD7" s="41">
        <f>SUMIF('прогноз на 20.05.12'!$C$7:$C$83,$C7,'прогноз на 20.05.12'!BD$7:BD$83)+SUMIF('прогноз на 20.05.12'!$C$7:$C$83,$E7,'прогноз на 20.05.12'!BD$7:BD$83)+SUMIF('прогноз на 20.05.12'!$C$7:$C$83,$G7,'прогноз на 20.05.12'!BD$7:BD$83)+SUMIF('прогноз на 20.05.12'!$C$7:$C$83,$I7,'прогноз на 20.05.12'!BD$7:BD$83)+SUMIF('прогноз на 20.05.12'!$C$7:$C$83,$K7,'прогноз на 20.05.12'!BD$7:BD$83)</f>
        <v>844442</v>
      </c>
      <c r="BE7" s="41">
        <f>SUMIF('прогноз на 20.05.12'!$C$7:$C$83,$C7,'прогноз на 20.05.12'!BE$7:BE$83)+SUMIF('прогноз на 20.05.12'!$C$7:$C$83,$E7,'прогноз на 20.05.12'!BE$7:BE$83)+SUMIF('прогноз на 20.05.12'!$C$7:$C$83,$G7,'прогноз на 20.05.12'!BE$7:BE$83)+SUMIF('прогноз на 20.05.12'!$C$7:$C$83,$I7,'прогноз на 20.05.12'!BE$7:BE$83)+SUMIF('прогноз на 20.05.12'!$C$7:$C$83,$K7,'прогноз на 20.05.12'!BE$7:BE$83)</f>
        <v>0</v>
      </c>
      <c r="BF7" s="41">
        <f>SUMIF('прогноз на 20.05.12'!$C$7:$C$83,$C7,'прогноз на 20.05.12'!BF$7:BF$83)+SUMIF('прогноз на 20.05.12'!$C$7:$C$83,$E7,'прогноз на 20.05.12'!BF$7:BF$83)+SUMIF('прогноз на 20.05.12'!$C$7:$C$83,$G7,'прогноз на 20.05.12'!BF$7:BF$83)+SUMIF('прогноз на 20.05.12'!$C$7:$C$83,$I7,'прогноз на 20.05.12'!BF$7:BF$83)+SUMIF('прогноз на 20.05.12'!$C$7:$C$83,$K7,'прогноз на 20.05.12'!BF$7:BF$83)</f>
        <v>231204.69999999995</v>
      </c>
      <c r="BG7" s="41">
        <f>SUMIF('прогноз на 20.05.12'!$C$7:$C$83,$C7,'прогноз на 20.05.12'!BG$7:BG$83)+SUMIF('прогноз на 20.05.12'!$C$7:$C$83,$E7,'прогноз на 20.05.12'!BG$7:BG$83)+SUMIF('прогноз на 20.05.12'!$C$7:$C$83,$G7,'прогноз на 20.05.12'!BG$7:BG$83)+SUMIF('прогноз на 20.05.12'!$C$7:$C$83,$I7,'прогноз на 20.05.12'!BG$7:BG$83)+SUMIF('прогноз на 20.05.12'!$C$7:$C$83,$K7,'прогноз на 20.05.12'!BG$7:BG$83)</f>
        <v>231204.69999999995</v>
      </c>
      <c r="BH7" s="41">
        <f>SUMIF('прогноз на 20.05.12'!$C$7:$C$83,$C7,'прогноз на 20.05.12'!BH$7:BH$83)+SUMIF('прогноз на 20.05.12'!$C$7:$C$83,$E7,'прогноз на 20.05.12'!BH$7:BH$83)+SUMIF('прогноз на 20.05.12'!$C$7:$C$83,$G7,'прогноз на 20.05.12'!BH$7:BH$83)+SUMIF('прогноз на 20.05.12'!$C$7:$C$83,$I7,'прогноз на 20.05.12'!BH$7:BH$83)+SUMIF('прогноз на 20.05.12'!$C$7:$C$83,$K7,'прогноз на 20.05.12'!BH$7:BH$83)</f>
        <v>0</v>
      </c>
      <c r="BI7" s="90">
        <f>IF(L7=0,"",L7/P7)</f>
        <v>11</v>
      </c>
      <c r="BJ7" s="90">
        <f t="shared" ref="BJ7:BL7" si="9">IF(M7=0,"",M7/Q7)</f>
        <v>9.8000000000000007</v>
      </c>
      <c r="BK7" s="90">
        <f t="shared" si="9"/>
        <v>14.5</v>
      </c>
      <c r="BL7" s="90">
        <f t="shared" si="9"/>
        <v>11.1</v>
      </c>
    </row>
    <row r="8" spans="1:64" s="59" customFormat="1" ht="18.75">
      <c r="A8" s="38">
        <v>2</v>
      </c>
      <c r="B8" s="39" t="s">
        <v>47</v>
      </c>
      <c r="C8" s="40" t="s">
        <v>184</v>
      </c>
      <c r="D8" s="56" t="s">
        <v>3</v>
      </c>
      <c r="E8" s="56" t="s">
        <v>178</v>
      </c>
      <c r="F8" s="56" t="s">
        <v>19</v>
      </c>
      <c r="G8" s="56" t="s">
        <v>200</v>
      </c>
      <c r="H8" s="58"/>
      <c r="I8" s="58"/>
      <c r="J8" s="58"/>
      <c r="K8" s="58"/>
      <c r="L8" s="41">
        <f>SUMIF('прогноз на 20.05.12'!$C$7:$C$83,$C8,'прогноз на 20.05.12'!D$7:D$83)+SUMIF('прогноз на 20.05.12'!$C$7:$C$83,$E8,'прогноз на 20.05.12'!D$7:D$83)+SUMIF('прогноз на 20.05.12'!$C$7:$C$83,$G8,'прогноз на 20.05.12'!D$7:D$83)+SUMIF('прогноз на 20.05.12'!$C$7:$C$83,$I8,'прогноз на 20.05.12'!D$7:D$83)+SUMIF('прогноз на 20.05.12'!$C$7:$C$83,$K8,'прогноз на 20.05.12'!D$7:D$83)</f>
        <v>21</v>
      </c>
      <c r="M8" s="41">
        <f>SUMIF('прогноз на 20.05.12'!$C$7:$C$83,$C8,'прогноз на 20.05.12'!E$7:E$83)+SUMIF('прогноз на 20.05.12'!$C$7:$C$83,$E8,'прогноз на 20.05.12'!E$7:E$83)+SUMIF('прогноз на 20.05.12'!$C$7:$C$83,$G8,'прогноз на 20.05.12'!E$7:E$83)+SUMIF('прогноз на 20.05.12'!$C$7:$C$83,$I8,'прогноз на 20.05.12'!E$7:E$83)+SUMIF('прогноз на 20.05.12'!$C$7:$C$83,$K8,'прогноз на 20.05.12'!E$7:E$83)</f>
        <v>30</v>
      </c>
      <c r="N8" s="41">
        <f>SUMIF('прогноз на 20.05.12'!$C$7:$C$83,$C8,'прогноз на 20.05.12'!F$7:F$83)+SUMIF('прогноз на 20.05.12'!$C$7:$C$83,$E8,'прогноз на 20.05.12'!F$7:F$83)+SUMIF('прогноз на 20.05.12'!$C$7:$C$83,$G8,'прогноз на 20.05.12'!F$7:F$83)+SUMIF('прогноз на 20.05.12'!$C$7:$C$83,$I8,'прогноз на 20.05.12'!F$7:F$83)+SUMIF('прогноз на 20.05.12'!$C$7:$C$83,$K8,'прогноз на 20.05.12'!F$7:F$83)</f>
        <v>12</v>
      </c>
      <c r="O8" s="44">
        <f t="shared" si="6"/>
        <v>63</v>
      </c>
      <c r="P8" s="41">
        <f>SUMIF('прогноз на 20.05.12'!$C$7:$C$83,$C8,'прогноз на 20.05.12'!H$7:H$83)+SUMIF('прогноз на 20.05.12'!$C$7:$C$83,$E8,'прогноз на 20.05.12'!H$7:H$83)+SUMIF('прогноз на 20.05.12'!$C$7:$C$83,$G8,'прогноз на 20.05.12'!H$7:H$83)+SUMIF('прогноз на 20.05.12'!$C$7:$C$83,$I8,'прогноз на 20.05.12'!H$7:H$83)+SUMIF('прогноз на 20.05.12'!$C$7:$C$83,$K8,'прогноз на 20.05.12'!H$7:H$83)</f>
        <v>5</v>
      </c>
      <c r="Q8" s="41">
        <f>SUMIF('прогноз на 20.05.12'!$C$7:$C$83,$C8,'прогноз на 20.05.12'!I$7:I$83)+SUMIF('прогноз на 20.05.12'!$C$7:$C$83,$E8,'прогноз на 20.05.12'!I$7:I$83)+SUMIF('прогноз на 20.05.12'!$C$7:$C$83,$G8,'прогноз на 20.05.12'!I$7:I$83)+SUMIF('прогноз на 20.05.12'!$C$7:$C$83,$I8,'прогноз на 20.05.12'!I$7:I$83)+SUMIF('прогноз на 20.05.12'!$C$7:$C$83,$K8,'прогноз на 20.05.12'!I$7:I$83)</f>
        <v>5</v>
      </c>
      <c r="R8" s="41">
        <f>SUMIF('прогноз на 20.05.12'!$C$7:$C$83,$C8,'прогноз на 20.05.12'!J$7:J$83)+SUMIF('прогноз на 20.05.12'!$C$7:$C$83,$E8,'прогноз на 20.05.12'!J$7:J$83)+SUMIF('прогноз на 20.05.12'!$C$7:$C$83,$G8,'прогноз на 20.05.12'!J$7:J$83)+SUMIF('прогноз на 20.05.12'!$C$7:$C$83,$I8,'прогноз на 20.05.12'!J$7:J$83)+SUMIF('прогноз на 20.05.12'!$C$7:$C$83,$K8,'прогноз на 20.05.12'!J$7:J$83)</f>
        <v>2</v>
      </c>
      <c r="S8" s="45">
        <f t="shared" si="7"/>
        <v>12</v>
      </c>
      <c r="T8" s="41">
        <f>SUMIF('прогноз на 20.05.12'!$C$7:$C$83,$C8,'прогноз на 20.05.12'!L$7:L$83)+SUMIF('прогноз на 20.05.12'!$C$7:$C$83,$E8,'прогноз на 20.05.12'!L$7:L$83)+SUMIF('прогноз на 20.05.12'!$C$7:$C$83,$G8,'прогноз на 20.05.12'!L$7:L$83)+SUMIF('прогноз на 20.05.12'!$C$7:$C$83,$I8,'прогноз на 20.05.12'!L$7:L$83)+SUMIF('прогноз на 20.05.12'!$C$7:$C$83,$K8,'прогноз на 20.05.12'!L$7:L$83)</f>
        <v>0</v>
      </c>
      <c r="U8" s="41">
        <f>SUMIF('прогноз на 20.05.12'!$C$7:$C$83,$C8,'прогноз на 20.05.12'!M$7:M$83)+SUMIF('прогноз на 20.05.12'!$C$7:$C$83,$E8,'прогноз на 20.05.12'!M$7:M$83)+SUMIF('прогноз на 20.05.12'!$C$7:$C$83,$G8,'прогноз на 20.05.12'!M$7:M$83)+SUMIF('прогноз на 20.05.12'!$C$7:$C$83,$I8,'прогноз на 20.05.12'!M$7:M$83)+SUMIF('прогноз на 20.05.12'!$C$7:$C$83,$K8,'прогноз на 20.05.12'!M$7:M$83)</f>
        <v>0</v>
      </c>
      <c r="V8" s="41">
        <f>SUMIF('прогноз на 20.05.12'!$C$7:$C$83,$C8,'прогноз на 20.05.12'!N$7:N$83)+SUMIF('прогноз на 20.05.12'!$C$7:$C$83,$E8,'прогноз на 20.05.12'!N$7:N$83)+SUMIF('прогноз на 20.05.12'!$C$7:$C$83,$G8,'прогноз на 20.05.12'!N$7:N$83)+SUMIF('прогноз на 20.05.12'!$C$7:$C$83,$I8,'прогноз на 20.05.12'!N$7:N$83)+SUMIF('прогноз на 20.05.12'!$C$7:$C$83,$K8,'прогноз на 20.05.12'!N$7:N$83)</f>
        <v>0</v>
      </c>
      <c r="W8" s="45">
        <f t="shared" si="8"/>
        <v>0</v>
      </c>
      <c r="X8" s="41">
        <f>SUMIF('прогноз на 20.05.12'!$C$7:$C$83,$C8,'прогноз на 20.05.12'!P$7:P$83)+SUMIF('прогноз на 20.05.12'!$C$7:$C$83,$E8,'прогноз на 20.05.12'!P$7:P$83)+SUMIF('прогноз на 20.05.12'!$C$7:$C$83,$G8,'прогноз на 20.05.12'!P$7:P$83)+SUMIF('прогноз на 20.05.12'!$C$7:$C$83,$I8,'прогноз на 20.05.12'!P$7:P$83)+SUMIF('прогноз на 20.05.12'!$C$7:$C$83,$K8,'прогноз на 20.05.12'!P$7:P$83)</f>
        <v>1</v>
      </c>
      <c r="Y8" s="41">
        <f>SUMIF('прогноз на 20.05.12'!$C$7:$C$83,$C8,'прогноз на 20.05.12'!Q$7:Q$83)+SUMIF('прогноз на 20.05.12'!$C$7:$C$83,$E8,'прогноз на 20.05.12'!Q$7:Q$83)+SUMIF('прогноз на 20.05.12'!$C$7:$C$83,$G8,'прогноз на 20.05.12'!Q$7:Q$83)+SUMIF('прогноз на 20.05.12'!$C$7:$C$83,$I8,'прогноз на 20.05.12'!Q$7:Q$83)+SUMIF('прогноз на 20.05.12'!$C$7:$C$83,$K8,'прогноз на 20.05.12'!Q$7:Q$83)</f>
        <v>23</v>
      </c>
      <c r="Z8" s="41">
        <f>SUMIF('прогноз на 20.05.12'!$C$7:$C$83,$C8,'прогноз на 20.05.12'!R$7:R$83)+SUMIF('прогноз на 20.05.12'!$C$7:$C$83,$E8,'прогноз на 20.05.12'!R$7:R$83)+SUMIF('прогноз на 20.05.12'!$C$7:$C$83,$G8,'прогноз на 20.05.12'!R$7:R$83)+SUMIF('прогноз на 20.05.12'!$C$7:$C$83,$I8,'прогноз на 20.05.12'!R$7:R$83)+SUMIF('прогноз на 20.05.12'!$C$7:$C$83,$K8,'прогноз на 20.05.12'!R$7:R$83)</f>
        <v>0</v>
      </c>
      <c r="AA8" s="41">
        <f>SUMIF('прогноз на 20.05.12'!$C$7:$C$83,$C8,'прогноз на 20.05.12'!S$7:S$83)+SUMIF('прогноз на 20.05.12'!$C$7:$C$83,$E8,'прогноз на 20.05.12'!S$7:S$83)+SUMIF('прогноз на 20.05.12'!$C$7:$C$83,$G8,'прогноз на 20.05.12'!S$7:S$83)+SUMIF('прогноз на 20.05.12'!$C$7:$C$83,$I8,'прогноз на 20.05.12'!S$7:S$83)+SUMIF('прогноз на 20.05.12'!$C$7:$C$83,$K8,'прогноз на 20.05.12'!S$7:S$83)</f>
        <v>36</v>
      </c>
      <c r="AB8" s="41">
        <f>SUMIF('прогноз на 20.05.12'!$C$7:$C$83,$C8,'прогноз на 20.05.12'!T$7:T$83)+SUMIF('прогноз на 20.05.12'!$C$7:$C$83,$E8,'прогноз на 20.05.12'!T$7:T$83)+SUMIF('прогноз на 20.05.12'!$C$7:$C$83,$G8,'прогноз на 20.05.12'!T$7:T$83)+SUMIF('прогноз на 20.05.12'!$C$7:$C$83,$I8,'прогноз на 20.05.12'!T$7:T$83)+SUMIF('прогноз на 20.05.12'!$C$7:$C$83,$K8,'прогноз на 20.05.12'!T$7:T$83)</f>
        <v>70</v>
      </c>
      <c r="AC8" s="41">
        <f>SUMIF('прогноз на 20.05.12'!$C$7:$C$83,$C8,'прогноз на 20.05.12'!U$7:U$83)+SUMIF('прогноз на 20.05.12'!$C$7:$C$83,$E8,'прогноз на 20.05.12'!U$7:U$83)+SUMIF('прогноз на 20.05.12'!$C$7:$C$83,$G8,'прогноз на 20.05.12'!U$7:U$83)+SUMIF('прогноз на 20.05.12'!$C$7:$C$83,$I8,'прогноз на 20.05.12'!U$7:U$83)+SUMIF('прогноз на 20.05.12'!$C$7:$C$83,$K8,'прогноз на 20.05.12'!U$7:U$83)</f>
        <v>28</v>
      </c>
      <c r="AD8" s="41">
        <f>SUMIF('прогноз на 20.05.12'!$C$7:$C$83,$C8,'прогноз на 20.05.12'!V$7:V$83)+SUMIF('прогноз на 20.05.12'!$C$7:$C$83,$E8,'прогноз на 20.05.12'!V$7:V$83)+SUMIF('прогноз на 20.05.12'!$C$7:$C$83,$G8,'прогноз на 20.05.12'!V$7:V$83)+SUMIF('прогноз на 20.05.12'!$C$7:$C$83,$I8,'прогноз на 20.05.12'!V$7:V$83)+SUMIF('прогноз на 20.05.12'!$C$7:$C$83,$K8,'прогноз на 20.05.12'!V$7:V$83)</f>
        <v>134</v>
      </c>
      <c r="AE8" s="41">
        <f>SUMIF('прогноз на 20.05.12'!$C$7:$C$83,$C8,'прогноз на 20.05.12'!W$7:W$83)+SUMIF('прогноз на 20.05.12'!$C$7:$C$83,$E8,'прогноз на 20.05.12'!W$7:W$83)+SUMIF('прогноз на 20.05.12'!$C$7:$C$83,$G8,'прогноз на 20.05.12'!W$7:W$83)+SUMIF('прогноз на 20.05.12'!$C$7:$C$83,$I8,'прогноз на 20.05.12'!W$7:W$83)+SUMIF('прогноз на 20.05.12'!$C$7:$C$83,$K8,'прогноз на 20.05.12'!W$7:W$83)</f>
        <v>15</v>
      </c>
      <c r="AF8" s="41">
        <f>SUMIF('прогноз на 20.05.12'!$C$7:$C$83,$C8,'прогноз на 20.05.12'!X$7:X$83)+SUMIF('прогноз на 20.05.12'!$C$7:$C$83,$E8,'прогноз на 20.05.12'!X$7:X$83)+SUMIF('прогноз на 20.05.12'!$C$7:$C$83,$G8,'прогноз на 20.05.12'!X$7:X$83)+SUMIF('прогноз на 20.05.12'!$C$7:$C$83,$I8,'прогноз на 20.05.12'!X$7:X$83)+SUMIF('прогноз на 20.05.12'!$C$7:$C$83,$K8,'прогноз на 20.05.12'!X$7:X$83)</f>
        <v>40</v>
      </c>
      <c r="AG8" s="41">
        <f>SUMIF('прогноз на 20.05.12'!$C$7:$C$83,$C8,'прогноз на 20.05.12'!Y$7:Y$83)+SUMIF('прогноз на 20.05.12'!$C$7:$C$83,$E8,'прогноз на 20.05.12'!Y$7:Y$83)+SUMIF('прогноз на 20.05.12'!$C$7:$C$83,$G8,'прогноз на 20.05.12'!Y$7:Y$83)+SUMIF('прогноз на 20.05.12'!$C$7:$C$83,$I8,'прогноз на 20.05.12'!Y$7:Y$83)+SUMIF('прогноз на 20.05.12'!$C$7:$C$83,$K8,'прогноз на 20.05.12'!Y$7:Y$83)</f>
        <v>16</v>
      </c>
      <c r="AH8" s="41">
        <f>SUMIF('прогноз на 20.05.12'!$C$7:$C$83,$C8,'прогноз на 20.05.12'!Z$7:Z$83)+SUMIF('прогноз на 20.05.12'!$C$7:$C$83,$E8,'прогноз на 20.05.12'!Z$7:Z$83)+SUMIF('прогноз на 20.05.12'!$C$7:$C$83,$G8,'прогноз на 20.05.12'!Z$7:Z$83)+SUMIF('прогноз на 20.05.12'!$C$7:$C$83,$I8,'прогноз на 20.05.12'!Z$7:Z$83)+SUMIF('прогноз на 20.05.12'!$C$7:$C$83,$K8,'прогноз на 20.05.12'!Z$7:Z$83)</f>
        <v>71</v>
      </c>
      <c r="AI8" s="41">
        <f>SUMIF('прогноз на 20.05.12'!$C$7:$C$83,$C8,'прогноз на 20.05.12'!AA$7:AA$83)+SUMIF('прогноз на 20.05.12'!$C$7:$C$83,$E8,'прогноз на 20.05.12'!AA$7:AA$83)+SUMIF('прогноз на 20.05.12'!$C$7:$C$83,$G8,'прогноз на 20.05.12'!AA$7:AA$83)+SUMIF('прогноз на 20.05.12'!$C$7:$C$83,$I8,'прогноз на 20.05.12'!AA$7:AA$83)+SUMIF('прогноз на 20.05.12'!$C$7:$C$83,$K8,'прогноз на 20.05.12'!AA$7:AA$83)</f>
        <v>11.25</v>
      </c>
      <c r="AJ8" s="41">
        <f>SUMIF('прогноз на 20.05.12'!$C$7:$C$83,$C8,'прогноз на 20.05.12'!AB$7:AB$83)+SUMIF('прогноз на 20.05.12'!$C$7:$C$83,$E8,'прогноз на 20.05.12'!AB$7:AB$83)+SUMIF('прогноз на 20.05.12'!$C$7:$C$83,$G8,'прогноз на 20.05.12'!AB$7:AB$83)+SUMIF('прогноз на 20.05.12'!$C$7:$C$83,$I8,'прогноз на 20.05.12'!AB$7:AB$83)+SUMIF('прогноз на 20.05.12'!$C$7:$C$83,$K8,'прогноз на 20.05.12'!AB$7:AB$83)</f>
        <v>30</v>
      </c>
      <c r="AK8" s="41">
        <f>SUMIF('прогноз на 20.05.12'!$C$7:$C$83,$C8,'прогноз на 20.05.12'!AC$7:AC$83)+SUMIF('прогноз на 20.05.12'!$C$7:$C$83,$E8,'прогноз на 20.05.12'!AC$7:AC$83)+SUMIF('прогноз на 20.05.12'!$C$7:$C$83,$G8,'прогноз на 20.05.12'!AC$7:AC$83)+SUMIF('прогноз на 20.05.12'!$C$7:$C$83,$I8,'прогноз на 20.05.12'!AC$7:AC$83)+SUMIF('прогноз на 20.05.12'!$C$7:$C$83,$K8,'прогноз на 20.05.12'!AC$7:AC$83)</f>
        <v>12</v>
      </c>
      <c r="AL8" s="41">
        <f>SUMIF('прогноз на 20.05.12'!$C$7:$C$83,$C8,'прогноз на 20.05.12'!AD$7:AD$83)+SUMIF('прогноз на 20.05.12'!$C$7:$C$83,$E8,'прогноз на 20.05.12'!AD$7:AD$83)+SUMIF('прогноз на 20.05.12'!$C$7:$C$83,$G8,'прогноз на 20.05.12'!AD$7:AD$83)+SUMIF('прогноз на 20.05.12'!$C$7:$C$83,$I8,'прогноз на 20.05.12'!AD$7:AD$83)+SUMIF('прогноз на 20.05.12'!$C$7:$C$83,$K8,'прогноз на 20.05.12'!AD$7:AD$83)</f>
        <v>53.25</v>
      </c>
      <c r="AM8" s="41">
        <f>SUMIF('прогноз на 20.05.12'!$C$7:$C$83,$C8,'прогноз на 20.05.12'!AE$7:AE$83)+SUMIF('прогноз на 20.05.12'!$C$7:$C$83,$E8,'прогноз на 20.05.12'!AE$7:AE$83)+SUMIF('прогноз на 20.05.12'!$C$7:$C$83,$G8,'прогноз на 20.05.12'!AE$7:AE$83)+SUMIF('прогноз на 20.05.12'!$C$7:$C$83,$I8,'прогноз на 20.05.12'!AE$7:AE$83)+SUMIF('прогноз на 20.05.12'!$C$7:$C$83,$K8,'прогноз на 20.05.12'!AE$7:AE$83)</f>
        <v>32.25</v>
      </c>
      <c r="AN8" s="41">
        <f>SUMIF('прогноз на 20.05.12'!$C$7:$C$83,$C8,'прогноз на 20.05.12'!AF$7:AF$83)+SUMIF('прогноз на 20.05.12'!$C$7:$C$83,$E8,'прогноз на 20.05.12'!AF$7:AF$83)+SUMIF('прогноз на 20.05.12'!$C$7:$C$83,$G8,'прогноз на 20.05.12'!AF$7:AF$83)+SUMIF('прогноз на 20.05.12'!$C$7:$C$83,$I8,'прогноз на 20.05.12'!AF$7:AF$83)+SUMIF('прогноз на 20.05.12'!$C$7:$C$83,$K8,'прогноз на 20.05.12'!AF$7:AF$83)</f>
        <v>60</v>
      </c>
      <c r="AO8" s="41">
        <f>SUMIF('прогноз на 20.05.12'!$C$7:$C$83,$C8,'прогноз на 20.05.12'!AG$7:AG$83)+SUMIF('прогноз на 20.05.12'!$C$7:$C$83,$E8,'прогноз на 20.05.12'!AG$7:AG$83)+SUMIF('прогноз на 20.05.12'!$C$7:$C$83,$G8,'прогноз на 20.05.12'!AG$7:AG$83)+SUMIF('прогноз на 20.05.12'!$C$7:$C$83,$I8,'прогноз на 20.05.12'!AG$7:AG$83)+SUMIF('прогноз на 20.05.12'!$C$7:$C$83,$K8,'прогноз на 20.05.12'!AG$7:AG$83)</f>
        <v>24</v>
      </c>
      <c r="AP8" s="41">
        <f>SUMIF('прогноз на 20.05.12'!$C$7:$C$83,$C8,'прогноз на 20.05.12'!AH$7:AH$83)+SUMIF('прогноз на 20.05.12'!$C$7:$C$83,$E8,'прогноз на 20.05.12'!AH$7:AH$83)+SUMIF('прогноз на 20.05.12'!$C$7:$C$83,$G8,'прогноз на 20.05.12'!AH$7:AH$83)+SUMIF('прогноз на 20.05.12'!$C$7:$C$83,$I8,'прогноз на 20.05.12'!AH$7:AH$83)+SUMIF('прогноз на 20.05.12'!$C$7:$C$83,$K8,'прогноз на 20.05.12'!AH$7:AH$83)</f>
        <v>116.25</v>
      </c>
      <c r="AQ8" s="41">
        <f>SUMIF('прогноз на 20.05.12'!$C$7:$C$83,$C8,'прогноз на 20.05.12'!AM$7:AM$83)+SUMIF('прогноз на 20.05.12'!$C$7:$C$83,$E8,'прогноз на 20.05.12'!AM$7:AM$83)+SUMIF('прогноз на 20.05.12'!$C$7:$C$83,$G8,'прогноз на 20.05.12'!AM$7:AM$83)+SUMIF('прогноз на 20.05.12'!$C$7:$C$83,$I8,'прогноз на 20.05.12'!AM$7:AM$83)+SUMIF('прогноз на 20.05.12'!$C$7:$C$83,$K8,'прогноз на 20.05.12'!AM$7:AM$83)</f>
        <v>224516.25</v>
      </c>
      <c r="AR8" s="41">
        <f>SUMIF('прогноз на 20.05.12'!$C$7:$C$83,$C8,'прогноз на 20.05.12'!AN$7:AN$83)+SUMIF('прогноз на 20.05.12'!$C$7:$C$83,$E8,'прогноз на 20.05.12'!AN$7:AN$83)+SUMIF('прогноз на 20.05.12'!$C$7:$C$83,$G8,'прогноз на 20.05.12'!AN$7:AN$83)+SUMIF('прогноз на 20.05.12'!$C$7:$C$83,$I8,'прогноз на 20.05.12'!AN$7:AN$83)+SUMIF('прогноз на 20.05.12'!$C$7:$C$83,$K8,'прогноз на 20.05.12'!AN$7:AN$83)</f>
        <v>1019370</v>
      </c>
      <c r="AS8" s="41">
        <f>SUMIF('прогноз на 20.05.12'!$C$7:$C$83,$C8,'прогноз на 20.05.12'!AO$7:AO$83)+SUMIF('прогноз на 20.05.12'!$C$7:$C$83,$E8,'прогноз на 20.05.12'!AO$7:AO$83)+SUMIF('прогноз на 20.05.12'!$C$7:$C$83,$G8,'прогноз на 20.05.12'!AO$7:AO$83)+SUMIF('прогноз на 20.05.12'!$C$7:$C$83,$I8,'прогноз на 20.05.12'!AO$7:AO$83)+SUMIF('прогноз на 20.05.12'!$C$7:$C$83,$K8,'прогноз на 20.05.12'!AO$7:AO$83)</f>
        <v>435444</v>
      </c>
      <c r="AT8" s="41">
        <f>SUMIF('прогноз на 20.05.12'!$C$7:$C$83,$C8,'прогноз на 20.05.12'!AP$7:AP$83)+SUMIF('прогноз на 20.05.12'!$C$7:$C$83,$E8,'прогноз на 20.05.12'!AP$7:AP$83)+SUMIF('прогноз на 20.05.12'!$C$7:$C$83,$G8,'прогноз на 20.05.12'!AP$7:AP$83)+SUMIF('прогноз на 20.05.12'!$C$7:$C$83,$I8,'прогноз на 20.05.12'!AP$7:AP$83)+SUMIF('прогноз на 20.05.12'!$C$7:$C$83,$K8,'прогноз на 20.05.12'!AP$7:AP$83)</f>
        <v>1679330.25</v>
      </c>
      <c r="AU8" s="41">
        <f>SUMIF('прогноз на 20.05.12'!$C$7:$C$83,$C8,'прогноз на 20.05.12'!AU$7:AU$83)+SUMIF('прогноз на 20.05.12'!$C$7:$C$83,$E8,'прогноз на 20.05.12'!AU$7:AU$83)+SUMIF('прогноз на 20.05.12'!$C$7:$C$83,$G8,'прогноз на 20.05.12'!AU$7:AU$83)+SUMIF('прогноз на 20.05.12'!$C$7:$C$83,$I8,'прогноз на 20.05.12'!AU$7:AU$83)+SUMIF('прогноз на 20.05.12'!$C$7:$C$83,$K8,'прогноз на 20.05.12'!AU$7:AU$83)</f>
        <v>14231.25</v>
      </c>
      <c r="AV8" s="41">
        <f>SUMIF('прогноз на 20.05.12'!$C$7:$C$83,$C8,'прогноз на 20.05.12'!AV$7:AV$83)+SUMIF('прогноз на 20.05.12'!$C$7:$C$83,$E8,'прогноз на 20.05.12'!AV$7:AV$83)+SUMIF('прогноз на 20.05.12'!$C$7:$C$83,$G8,'прогноз на 20.05.12'!AV$7:AV$83)+SUMIF('прогноз на 20.05.12'!$C$7:$C$83,$I8,'прогноз на 20.05.12'!AV$7:AV$83)+SUMIF('прогноз на 20.05.12'!$C$7:$C$83,$K8,'прогноз на 20.05.12'!AV$7:AV$83)</f>
        <v>43230</v>
      </c>
      <c r="AW8" s="41">
        <f>SUMIF('прогноз на 20.05.12'!$C$7:$C$83,$C8,'прогноз на 20.05.12'!AW$7:AW$83)+SUMIF('прогноз на 20.05.12'!$C$7:$C$83,$E8,'прогноз на 20.05.12'!AW$7:AW$83)+SUMIF('прогноз на 20.05.12'!$C$7:$C$83,$G8,'прогноз на 20.05.12'!AW$7:AW$83)+SUMIF('прогноз на 20.05.12'!$C$7:$C$83,$I8,'прогноз на 20.05.12'!AW$7:AW$83)+SUMIF('прогноз на 20.05.12'!$C$7:$C$83,$K8,'прогноз на 20.05.12'!AW$7:AW$83)</f>
        <v>21924</v>
      </c>
      <c r="AX8" s="41">
        <f>SUMIF('прогноз на 20.05.12'!$C$7:$C$83,$C8,'прогноз на 20.05.12'!AX$7:AX$83)+SUMIF('прогноз на 20.05.12'!$C$7:$C$83,$E8,'прогноз на 20.05.12'!AX$7:AX$83)+SUMIF('прогноз на 20.05.12'!$C$7:$C$83,$G8,'прогноз на 20.05.12'!AX$7:AX$83)+SUMIF('прогноз на 20.05.12'!$C$7:$C$83,$I8,'прогноз на 20.05.12'!AX$7:AX$83)+SUMIF('прогноз на 20.05.12'!$C$7:$C$83,$K8,'прогноз на 20.05.12'!AX$7:AX$83)</f>
        <v>79385.25</v>
      </c>
      <c r="AY8" s="41">
        <f>SUMIF('прогноз на 20.05.12'!$C$7:$C$83,$C8,'прогноз на 20.05.12'!AY$7:AY$83)+SUMIF('прогноз на 20.05.12'!$C$7:$C$83,$E8,'прогноз на 20.05.12'!AY$7:AY$83)+SUMIF('прогноз на 20.05.12'!$C$7:$C$83,$G8,'прогноз на 20.05.12'!AY$7:AY$83)+SUMIF('прогноз на 20.05.12'!$C$7:$C$83,$I8,'прогноз на 20.05.12'!AY$7:AY$83)+SUMIF('прогноз на 20.05.12'!$C$7:$C$83,$K8,'прогноз на 20.05.12'!AY$7:AY$83)</f>
        <v>238747.5</v>
      </c>
      <c r="AZ8" s="41">
        <f>SUMIF('прогноз на 20.05.12'!$C$7:$C$83,$C8,'прогноз на 20.05.12'!AZ$7:AZ$83)+SUMIF('прогноз на 20.05.12'!$C$7:$C$83,$E8,'прогноз на 20.05.12'!AZ$7:AZ$83)+SUMIF('прогноз на 20.05.12'!$C$7:$C$83,$G8,'прогноз на 20.05.12'!AZ$7:AZ$83)+SUMIF('прогноз на 20.05.12'!$C$7:$C$83,$I8,'прогноз на 20.05.12'!AZ$7:AZ$83)+SUMIF('прогноз на 20.05.12'!$C$7:$C$83,$K8,'прогноз на 20.05.12'!AZ$7:AZ$83)</f>
        <v>1062600</v>
      </c>
      <c r="BA8" s="41">
        <f>SUMIF('прогноз на 20.05.12'!$C$7:$C$83,$C8,'прогноз на 20.05.12'!BA$7:BA$83)+SUMIF('прогноз на 20.05.12'!$C$7:$C$83,$E8,'прогноз на 20.05.12'!BA$7:BA$83)+SUMIF('прогноз на 20.05.12'!$C$7:$C$83,$G8,'прогноз на 20.05.12'!BA$7:BA$83)+SUMIF('прогноз на 20.05.12'!$C$7:$C$83,$I8,'прогноз на 20.05.12'!BA$7:BA$83)+SUMIF('прогноз на 20.05.12'!$C$7:$C$83,$K8,'прогноз на 20.05.12'!BA$7:BA$83)</f>
        <v>457368</v>
      </c>
      <c r="BB8" s="41">
        <f>SUMIF('прогноз на 20.05.12'!$C$7:$C$83,$C8,'прогноз на 20.05.12'!BB$7:BB$83)+SUMIF('прогноз на 20.05.12'!$C$7:$C$83,$E8,'прогноз на 20.05.12'!BB$7:BB$83)+SUMIF('прогноз на 20.05.12'!$C$7:$C$83,$G8,'прогноз на 20.05.12'!BB$7:BB$83)+SUMIF('прогноз на 20.05.12'!$C$7:$C$83,$I8,'прогноз на 20.05.12'!BB$7:BB$83)+SUMIF('прогноз на 20.05.12'!$C$7:$C$83,$K8,'прогноз на 20.05.12'!BB$7:BB$83)</f>
        <v>1758715.5</v>
      </c>
      <c r="BC8" s="41">
        <f>SUMIF('прогноз на 20.05.12'!$C$7:$C$83,$C8,'прогноз на 20.05.12'!BC$7:BC$83)+SUMIF('прогноз на 20.05.12'!$C$7:$C$83,$E8,'прогноз на 20.05.12'!BC$7:BC$83)+SUMIF('прогноз на 20.05.12'!$C$7:$C$83,$G8,'прогноз на 20.05.12'!BC$7:BC$83)+SUMIF('прогноз на 20.05.12'!$C$7:$C$83,$I8,'прогноз на 20.05.12'!BC$7:BC$83)+SUMIF('прогноз на 20.05.12'!$C$7:$C$83,$K8,'прогноз на 20.05.12'!BC$7:BC$83)</f>
        <v>2797198</v>
      </c>
      <c r="BD8" s="41">
        <f>SUMIF('прогноз на 20.05.12'!$C$7:$C$83,$C8,'прогноз на 20.05.12'!BD$7:BD$83)+SUMIF('прогноз на 20.05.12'!$C$7:$C$83,$E8,'прогноз на 20.05.12'!BD$7:BD$83)+SUMIF('прогноз на 20.05.12'!$C$7:$C$83,$G8,'прогноз на 20.05.12'!BD$7:BD$83)+SUMIF('прогноз на 20.05.12'!$C$7:$C$83,$I8,'прогноз на 20.05.12'!BD$7:BD$83)+SUMIF('прогноз на 20.05.12'!$C$7:$C$83,$K8,'прогноз на 20.05.12'!BD$7:BD$83)</f>
        <v>2799549</v>
      </c>
      <c r="BE8" s="41">
        <f>SUMIF('прогноз на 20.05.12'!$C$7:$C$83,$C8,'прогноз на 20.05.12'!BE$7:BE$83)+SUMIF('прогноз на 20.05.12'!$C$7:$C$83,$E8,'прогноз на 20.05.12'!BE$7:BE$83)+SUMIF('прогноз на 20.05.12'!$C$7:$C$83,$G8,'прогноз на 20.05.12'!BE$7:BE$83)+SUMIF('прогноз на 20.05.12'!$C$7:$C$83,$I8,'прогноз на 20.05.12'!BE$7:BE$83)+SUMIF('прогноз на 20.05.12'!$C$7:$C$83,$K8,'прогноз на 20.05.12'!BE$7:BE$83)</f>
        <v>-2351</v>
      </c>
      <c r="BF8" s="41">
        <f>SUMIF('прогноз на 20.05.12'!$C$7:$C$83,$C8,'прогноз на 20.05.12'!BF$7:BF$83)+SUMIF('прогноз на 20.05.12'!$C$7:$C$83,$E8,'прогноз на 20.05.12'!BF$7:BF$83)+SUMIF('прогноз на 20.05.12'!$C$7:$C$83,$G8,'прогноз на 20.05.12'!BF$7:BF$83)+SUMIF('прогноз на 20.05.12'!$C$7:$C$83,$I8,'прогноз на 20.05.12'!BF$7:BF$83)+SUMIF('прогноз на 20.05.12'!$C$7:$C$83,$K8,'прогноз на 20.05.12'!BF$7:BF$83)</f>
        <v>1038482.5</v>
      </c>
      <c r="BG8" s="41">
        <f>SUMIF('прогноз на 20.05.12'!$C$7:$C$83,$C8,'прогноз на 20.05.12'!BG$7:BG$83)+SUMIF('прогноз на 20.05.12'!$C$7:$C$83,$E8,'прогноз на 20.05.12'!BG$7:BG$83)+SUMIF('прогноз на 20.05.12'!$C$7:$C$83,$G8,'прогноз на 20.05.12'!BG$7:BG$83)+SUMIF('прогноз на 20.05.12'!$C$7:$C$83,$I8,'прогноз на 20.05.12'!BG$7:BG$83)+SUMIF('прогноз на 20.05.12'!$C$7:$C$83,$K8,'прогноз на 20.05.12'!BG$7:BG$83)</f>
        <v>1040833.5</v>
      </c>
      <c r="BH8" s="41">
        <f>SUMIF('прогноз на 20.05.12'!$C$7:$C$83,$C8,'прогноз на 20.05.12'!BH$7:BH$83)+SUMIF('прогноз на 20.05.12'!$C$7:$C$83,$E8,'прогноз на 20.05.12'!BH$7:BH$83)+SUMIF('прогноз на 20.05.12'!$C$7:$C$83,$G8,'прогноз на 20.05.12'!BH$7:BH$83)+SUMIF('прогноз на 20.05.12'!$C$7:$C$83,$I8,'прогноз на 20.05.12'!BH$7:BH$83)+SUMIF('прогноз на 20.05.12'!$C$7:$C$83,$K8,'прогноз на 20.05.12'!BH$7:BH$83)</f>
        <v>-2351</v>
      </c>
      <c r="BI8" s="90">
        <f t="shared" ref="BI8:BI38" si="10">IF(L8=0,"",L8/P8)</f>
        <v>4.2</v>
      </c>
      <c r="BJ8" s="90">
        <f t="shared" ref="BJ8:BJ38" si="11">IF(M8=0,"",M8/Q8)</f>
        <v>6</v>
      </c>
      <c r="BK8" s="90">
        <f t="shared" ref="BK8:BK38" si="12">IF(N8=0,"",N8/R8)</f>
        <v>6</v>
      </c>
      <c r="BL8" s="90">
        <f t="shared" ref="BL8:BL38" si="13">IF(O8=0,"",O8/S8)</f>
        <v>5.25</v>
      </c>
    </row>
    <row r="9" spans="1:64" s="59" customFormat="1" ht="18.75">
      <c r="A9" s="38">
        <v>3</v>
      </c>
      <c r="B9" s="39" t="s">
        <v>48</v>
      </c>
      <c r="C9" s="40" t="s">
        <v>186</v>
      </c>
      <c r="D9" s="56" t="s">
        <v>16</v>
      </c>
      <c r="E9" s="56" t="s">
        <v>197</v>
      </c>
      <c r="F9" s="56" t="s">
        <v>44</v>
      </c>
      <c r="G9" s="56" t="s">
        <v>251</v>
      </c>
      <c r="H9" s="58"/>
      <c r="I9" s="58"/>
      <c r="J9" s="58"/>
      <c r="K9" s="58"/>
      <c r="L9" s="41">
        <f>SUMIF('прогноз на 20.05.12'!$C$7:$C$83,$C9,'прогноз на 20.05.12'!D$7:D$83)+SUMIF('прогноз на 20.05.12'!$C$7:$C$83,$E9,'прогноз на 20.05.12'!D$7:D$83)+SUMIF('прогноз на 20.05.12'!$C$7:$C$83,$G9,'прогноз на 20.05.12'!D$7:D$83)+SUMIF('прогноз на 20.05.12'!$C$7:$C$83,$I9,'прогноз на 20.05.12'!D$7:D$83)+SUMIF('прогноз на 20.05.12'!$C$7:$C$83,$K9,'прогноз на 20.05.12'!D$7:D$83)</f>
        <v>92</v>
      </c>
      <c r="M9" s="41">
        <f>SUMIF('прогноз на 20.05.12'!$C$7:$C$83,$C9,'прогноз на 20.05.12'!E$7:E$83)+SUMIF('прогноз на 20.05.12'!$C$7:$C$83,$E9,'прогноз на 20.05.12'!E$7:E$83)+SUMIF('прогноз на 20.05.12'!$C$7:$C$83,$G9,'прогноз на 20.05.12'!E$7:E$83)+SUMIF('прогноз на 20.05.12'!$C$7:$C$83,$I9,'прогноз на 20.05.12'!E$7:E$83)+SUMIF('прогноз на 20.05.12'!$C$7:$C$83,$K9,'прогноз на 20.05.12'!E$7:E$83)</f>
        <v>110</v>
      </c>
      <c r="N9" s="41">
        <f>SUMIF('прогноз на 20.05.12'!$C$7:$C$83,$C9,'прогноз на 20.05.12'!F$7:F$83)+SUMIF('прогноз на 20.05.12'!$C$7:$C$83,$E9,'прогноз на 20.05.12'!F$7:F$83)+SUMIF('прогноз на 20.05.12'!$C$7:$C$83,$G9,'прогноз на 20.05.12'!F$7:F$83)+SUMIF('прогноз на 20.05.12'!$C$7:$C$83,$I9,'прогноз на 20.05.12'!F$7:F$83)+SUMIF('прогноз на 20.05.12'!$C$7:$C$83,$K9,'прогноз на 20.05.12'!F$7:F$83)</f>
        <v>34</v>
      </c>
      <c r="O9" s="44">
        <f t="shared" si="6"/>
        <v>236</v>
      </c>
      <c r="P9" s="41">
        <f>SUMIF('прогноз на 20.05.12'!$C$7:$C$83,$C9,'прогноз на 20.05.12'!H$7:H$83)+SUMIF('прогноз на 20.05.12'!$C$7:$C$83,$E9,'прогноз на 20.05.12'!H$7:H$83)+SUMIF('прогноз на 20.05.12'!$C$7:$C$83,$G9,'прогноз на 20.05.12'!H$7:H$83)+SUMIF('прогноз на 20.05.12'!$C$7:$C$83,$I9,'прогноз на 20.05.12'!H$7:H$83)+SUMIF('прогноз на 20.05.12'!$C$7:$C$83,$K9,'прогноз на 20.05.12'!H$7:H$83)</f>
        <v>10</v>
      </c>
      <c r="Q9" s="41">
        <f>SUMIF('прогноз на 20.05.12'!$C$7:$C$83,$C9,'прогноз на 20.05.12'!I$7:I$83)+SUMIF('прогноз на 20.05.12'!$C$7:$C$83,$E9,'прогноз на 20.05.12'!I$7:I$83)+SUMIF('прогноз на 20.05.12'!$C$7:$C$83,$G9,'прогноз на 20.05.12'!I$7:I$83)+SUMIF('прогноз на 20.05.12'!$C$7:$C$83,$I9,'прогноз на 20.05.12'!I$7:I$83)+SUMIF('прогноз на 20.05.12'!$C$7:$C$83,$K9,'прогноз на 20.05.12'!I$7:I$83)</f>
        <v>6</v>
      </c>
      <c r="R9" s="41">
        <f>SUMIF('прогноз на 20.05.12'!$C$7:$C$83,$C9,'прогноз на 20.05.12'!J$7:J$83)+SUMIF('прогноз на 20.05.12'!$C$7:$C$83,$E9,'прогноз на 20.05.12'!J$7:J$83)+SUMIF('прогноз на 20.05.12'!$C$7:$C$83,$G9,'прогноз на 20.05.12'!J$7:J$83)+SUMIF('прогноз на 20.05.12'!$C$7:$C$83,$I9,'прогноз на 20.05.12'!J$7:J$83)+SUMIF('прогноз на 20.05.12'!$C$7:$C$83,$K9,'прогноз на 20.05.12'!J$7:J$83)</f>
        <v>2</v>
      </c>
      <c r="S9" s="45">
        <f t="shared" si="7"/>
        <v>18</v>
      </c>
      <c r="T9" s="41">
        <f>SUMIF('прогноз на 20.05.12'!$C$7:$C$83,$C9,'прогноз на 20.05.12'!L$7:L$83)+SUMIF('прогноз на 20.05.12'!$C$7:$C$83,$E9,'прогноз на 20.05.12'!L$7:L$83)+SUMIF('прогноз на 20.05.12'!$C$7:$C$83,$G9,'прогноз на 20.05.12'!L$7:L$83)+SUMIF('прогноз на 20.05.12'!$C$7:$C$83,$I9,'прогноз на 20.05.12'!L$7:L$83)+SUMIF('прогноз на 20.05.12'!$C$7:$C$83,$K9,'прогноз на 20.05.12'!L$7:L$83)</f>
        <v>0</v>
      </c>
      <c r="U9" s="41">
        <f>SUMIF('прогноз на 20.05.12'!$C$7:$C$83,$C9,'прогноз на 20.05.12'!M$7:M$83)+SUMIF('прогноз на 20.05.12'!$C$7:$C$83,$E9,'прогноз на 20.05.12'!M$7:M$83)+SUMIF('прогноз на 20.05.12'!$C$7:$C$83,$G9,'прогноз на 20.05.12'!M$7:M$83)+SUMIF('прогноз на 20.05.12'!$C$7:$C$83,$I9,'прогноз на 20.05.12'!M$7:M$83)+SUMIF('прогноз на 20.05.12'!$C$7:$C$83,$K9,'прогноз на 20.05.12'!M$7:M$83)</f>
        <v>0</v>
      </c>
      <c r="V9" s="41">
        <f>SUMIF('прогноз на 20.05.12'!$C$7:$C$83,$C9,'прогноз на 20.05.12'!N$7:N$83)+SUMIF('прогноз на 20.05.12'!$C$7:$C$83,$E9,'прогноз на 20.05.12'!N$7:N$83)+SUMIF('прогноз на 20.05.12'!$C$7:$C$83,$G9,'прогноз на 20.05.12'!N$7:N$83)+SUMIF('прогноз на 20.05.12'!$C$7:$C$83,$I9,'прогноз на 20.05.12'!N$7:N$83)+SUMIF('прогноз на 20.05.12'!$C$7:$C$83,$K9,'прогноз на 20.05.12'!N$7:N$83)</f>
        <v>1</v>
      </c>
      <c r="W9" s="45">
        <f t="shared" si="8"/>
        <v>1</v>
      </c>
      <c r="X9" s="41">
        <f>SUMIF('прогноз на 20.05.12'!$C$7:$C$83,$C9,'прогноз на 20.05.12'!P$7:P$83)+SUMIF('прогноз на 20.05.12'!$C$7:$C$83,$E9,'прогноз на 20.05.12'!P$7:P$83)+SUMIF('прогноз на 20.05.12'!$C$7:$C$83,$G9,'прогноз на 20.05.12'!P$7:P$83)+SUMIF('прогноз на 20.05.12'!$C$7:$C$83,$I9,'прогноз на 20.05.12'!P$7:P$83)+SUMIF('прогноз на 20.05.12'!$C$7:$C$83,$K9,'прогноз на 20.05.12'!P$7:P$83)</f>
        <v>2</v>
      </c>
      <c r="Y9" s="41">
        <f>SUMIF('прогноз на 20.05.12'!$C$7:$C$83,$C9,'прогноз на 20.05.12'!Q$7:Q$83)+SUMIF('прогноз на 20.05.12'!$C$7:$C$83,$E9,'прогноз на 20.05.12'!Q$7:Q$83)+SUMIF('прогноз на 20.05.12'!$C$7:$C$83,$G9,'прогноз на 20.05.12'!Q$7:Q$83)+SUMIF('прогноз на 20.05.12'!$C$7:$C$83,$I9,'прогноз на 20.05.12'!Q$7:Q$83)+SUMIF('прогноз на 20.05.12'!$C$7:$C$83,$K9,'прогноз на 20.05.12'!Q$7:Q$83)</f>
        <v>50</v>
      </c>
      <c r="Z9" s="41">
        <f>SUMIF('прогноз на 20.05.12'!$C$7:$C$83,$C9,'прогноз на 20.05.12'!R$7:R$83)+SUMIF('прогноз на 20.05.12'!$C$7:$C$83,$E9,'прогноз на 20.05.12'!R$7:R$83)+SUMIF('прогноз на 20.05.12'!$C$7:$C$83,$G9,'прогноз на 20.05.12'!R$7:R$83)+SUMIF('прогноз на 20.05.12'!$C$7:$C$83,$I9,'прогноз на 20.05.12'!R$7:R$83)+SUMIF('прогноз на 20.05.12'!$C$7:$C$83,$K9,'прогноз на 20.05.12'!R$7:R$83)</f>
        <v>0</v>
      </c>
      <c r="AA9" s="41">
        <f>SUMIF('прогноз на 20.05.12'!$C$7:$C$83,$C9,'прогноз на 20.05.12'!S$7:S$83)+SUMIF('прогноз на 20.05.12'!$C$7:$C$83,$E9,'прогноз на 20.05.12'!S$7:S$83)+SUMIF('прогноз на 20.05.12'!$C$7:$C$83,$G9,'прогноз на 20.05.12'!S$7:S$83)+SUMIF('прогноз на 20.05.12'!$C$7:$C$83,$I9,'прогноз на 20.05.12'!S$7:S$83)+SUMIF('прогноз на 20.05.12'!$C$7:$C$83,$K9,'прогноз на 20.05.12'!S$7:S$83)</f>
        <v>90</v>
      </c>
      <c r="AB9" s="41">
        <f>SUMIF('прогноз на 20.05.12'!$C$7:$C$83,$C9,'прогноз на 20.05.12'!T$7:T$83)+SUMIF('прогноз на 20.05.12'!$C$7:$C$83,$E9,'прогноз на 20.05.12'!T$7:T$83)+SUMIF('прогноз на 20.05.12'!$C$7:$C$83,$G9,'прогноз на 20.05.12'!T$7:T$83)+SUMIF('прогноз на 20.05.12'!$C$7:$C$83,$I9,'прогноз на 20.05.12'!T$7:T$83)+SUMIF('прогноз на 20.05.12'!$C$7:$C$83,$K9,'прогноз на 20.05.12'!T$7:T$83)</f>
        <v>84</v>
      </c>
      <c r="AC9" s="41">
        <f>SUMIF('прогноз на 20.05.12'!$C$7:$C$83,$C9,'прогноз на 20.05.12'!U$7:U$83)+SUMIF('прогноз на 20.05.12'!$C$7:$C$83,$E9,'прогноз на 20.05.12'!U$7:U$83)+SUMIF('прогноз на 20.05.12'!$C$7:$C$83,$G9,'прогноз на 20.05.12'!U$7:U$83)+SUMIF('прогноз на 20.05.12'!$C$7:$C$83,$I9,'прогноз на 20.05.12'!U$7:U$83)+SUMIF('прогноз на 20.05.12'!$C$7:$C$83,$K9,'прогноз на 20.05.12'!U$7:U$83)</f>
        <v>28</v>
      </c>
      <c r="AD9" s="41">
        <f>SUMIF('прогноз на 20.05.12'!$C$7:$C$83,$C9,'прогноз на 20.05.12'!V$7:V$83)+SUMIF('прогноз на 20.05.12'!$C$7:$C$83,$E9,'прогноз на 20.05.12'!V$7:V$83)+SUMIF('прогноз на 20.05.12'!$C$7:$C$83,$G9,'прогноз на 20.05.12'!V$7:V$83)+SUMIF('прогноз на 20.05.12'!$C$7:$C$83,$I9,'прогноз на 20.05.12'!V$7:V$83)+SUMIF('прогноз на 20.05.12'!$C$7:$C$83,$K9,'прогноз на 20.05.12'!V$7:V$83)</f>
        <v>202</v>
      </c>
      <c r="AE9" s="41">
        <f>SUMIF('прогноз на 20.05.12'!$C$7:$C$83,$C9,'прогноз на 20.05.12'!W$7:W$83)+SUMIF('прогноз на 20.05.12'!$C$7:$C$83,$E9,'прогноз на 20.05.12'!W$7:W$83)+SUMIF('прогноз на 20.05.12'!$C$7:$C$83,$G9,'прогноз на 20.05.12'!W$7:W$83)+SUMIF('прогноз на 20.05.12'!$C$7:$C$83,$I9,'прогноз на 20.05.12'!W$7:W$83)+SUMIF('прогноз на 20.05.12'!$C$7:$C$83,$K9,'прогноз на 20.05.12'!W$7:W$83)</f>
        <v>-2</v>
      </c>
      <c r="AF9" s="41">
        <f>SUMIF('прогноз на 20.05.12'!$C$7:$C$83,$C9,'прогноз на 20.05.12'!X$7:X$83)+SUMIF('прогноз на 20.05.12'!$C$7:$C$83,$E9,'прогноз на 20.05.12'!X$7:X$83)+SUMIF('прогноз на 20.05.12'!$C$7:$C$83,$G9,'прогноз на 20.05.12'!X$7:X$83)+SUMIF('прогноз на 20.05.12'!$C$7:$C$83,$I9,'прогноз на 20.05.12'!X$7:X$83)+SUMIF('прогноз на 20.05.12'!$C$7:$C$83,$K9,'прогноз на 20.05.12'!X$7:X$83)</f>
        <v>-26</v>
      </c>
      <c r="AG9" s="41">
        <f>SUMIF('прогноз на 20.05.12'!$C$7:$C$83,$C9,'прогноз на 20.05.12'!Y$7:Y$83)+SUMIF('прогноз на 20.05.12'!$C$7:$C$83,$E9,'прогноз на 20.05.12'!Y$7:Y$83)+SUMIF('прогноз на 20.05.12'!$C$7:$C$83,$G9,'прогноз на 20.05.12'!Y$7:Y$83)+SUMIF('прогноз на 20.05.12'!$C$7:$C$83,$I9,'прогноз на 20.05.12'!Y$7:Y$83)+SUMIF('прогноз на 20.05.12'!$C$7:$C$83,$K9,'прогноз на 20.05.12'!Y$7:Y$83)</f>
        <v>-6</v>
      </c>
      <c r="AH9" s="41">
        <f>SUMIF('прогноз на 20.05.12'!$C$7:$C$83,$C9,'прогноз на 20.05.12'!Z$7:Z$83)+SUMIF('прогноз на 20.05.12'!$C$7:$C$83,$E9,'прогноз на 20.05.12'!Z$7:Z$83)+SUMIF('прогноз на 20.05.12'!$C$7:$C$83,$G9,'прогноз на 20.05.12'!Z$7:Z$83)+SUMIF('прогноз на 20.05.12'!$C$7:$C$83,$I9,'прогноз на 20.05.12'!Z$7:Z$83)+SUMIF('прогноз на 20.05.12'!$C$7:$C$83,$K9,'прогноз на 20.05.12'!Z$7:Z$83)</f>
        <v>-34</v>
      </c>
      <c r="AI9" s="41">
        <f>SUMIF('прогноз на 20.05.12'!$C$7:$C$83,$C9,'прогноз на 20.05.12'!AA$7:AA$83)+SUMIF('прогноз на 20.05.12'!$C$7:$C$83,$E9,'прогноз на 20.05.12'!AA$7:AA$83)+SUMIF('прогноз на 20.05.12'!$C$7:$C$83,$G9,'прогноз на 20.05.12'!AA$7:AA$83)+SUMIF('прогноз на 20.05.12'!$C$7:$C$83,$I9,'прогноз на 20.05.12'!AA$7:AA$83)+SUMIF('прогноз на 20.05.12'!$C$7:$C$83,$K9,'прогноз на 20.05.12'!AA$7:AA$83)</f>
        <v>0.4</v>
      </c>
      <c r="AJ9" s="41">
        <f>SUMIF('прогноз на 20.05.12'!$C$7:$C$83,$C9,'прогноз на 20.05.12'!AB$7:AB$83)+SUMIF('прогноз на 20.05.12'!$C$7:$C$83,$E9,'прогноз на 20.05.12'!AB$7:AB$83)+SUMIF('прогноз на 20.05.12'!$C$7:$C$83,$G9,'прогноз на 20.05.12'!AB$7:AB$83)+SUMIF('прогноз на 20.05.12'!$C$7:$C$83,$I9,'прогноз на 20.05.12'!AB$7:AB$83)+SUMIF('прогноз на 20.05.12'!$C$7:$C$83,$K9,'прогноз на 20.05.12'!AB$7:AB$83)</f>
        <v>5.2</v>
      </c>
      <c r="AK9" s="41">
        <f>SUMIF('прогноз на 20.05.12'!$C$7:$C$83,$C9,'прогноз на 20.05.12'!AC$7:AC$83)+SUMIF('прогноз на 20.05.12'!$C$7:$C$83,$E9,'прогноз на 20.05.12'!AC$7:AC$83)+SUMIF('прогноз на 20.05.12'!$C$7:$C$83,$G9,'прогноз на 20.05.12'!AC$7:AC$83)+SUMIF('прогноз на 20.05.12'!$C$7:$C$83,$I9,'прогноз на 20.05.12'!AC$7:AC$83)+SUMIF('прогноз на 20.05.12'!$C$7:$C$83,$K9,'прогноз на 20.05.12'!AC$7:AC$83)</f>
        <v>1.2000000000000002</v>
      </c>
      <c r="AL9" s="41">
        <f>SUMIF('прогноз на 20.05.12'!$C$7:$C$83,$C9,'прогноз на 20.05.12'!AD$7:AD$83)+SUMIF('прогноз на 20.05.12'!$C$7:$C$83,$E9,'прогноз на 20.05.12'!AD$7:AD$83)+SUMIF('прогноз на 20.05.12'!$C$7:$C$83,$G9,'прогноз на 20.05.12'!AD$7:AD$83)+SUMIF('прогноз на 20.05.12'!$C$7:$C$83,$I9,'прогноз на 20.05.12'!AD$7:AD$83)+SUMIF('прогноз на 20.05.12'!$C$7:$C$83,$K9,'прогноз на 20.05.12'!AD$7:AD$83)</f>
        <v>6.8000000000000007</v>
      </c>
      <c r="AM9" s="41">
        <f>SUMIF('прогноз на 20.05.12'!$C$7:$C$83,$C9,'прогноз на 20.05.12'!AE$7:AE$83)+SUMIF('прогноз на 20.05.12'!$C$7:$C$83,$E9,'прогноз на 20.05.12'!AE$7:AE$83)+SUMIF('прогноз на 20.05.12'!$C$7:$C$83,$G9,'прогноз на 20.05.12'!AE$7:AE$83)+SUMIF('прогноз на 20.05.12'!$C$7:$C$83,$I9,'прогноз на 20.05.12'!AE$7:AE$83)+SUMIF('прогноз на 20.05.12'!$C$7:$C$83,$K9,'прогноз на 20.05.12'!AE$7:AE$83)</f>
        <v>92.4</v>
      </c>
      <c r="AN9" s="41">
        <f>SUMIF('прогноз на 20.05.12'!$C$7:$C$83,$C9,'прогноз на 20.05.12'!AF$7:AF$83)+SUMIF('прогноз на 20.05.12'!$C$7:$C$83,$E9,'прогноз на 20.05.12'!AF$7:AF$83)+SUMIF('прогноз на 20.05.12'!$C$7:$C$83,$G9,'прогноз на 20.05.12'!AF$7:AF$83)+SUMIF('прогноз на 20.05.12'!$C$7:$C$83,$I9,'прогноз на 20.05.12'!AF$7:AF$83)+SUMIF('прогноз на 20.05.12'!$C$7:$C$83,$K9,'прогноз на 20.05.12'!AF$7:AF$83)</f>
        <v>115.2</v>
      </c>
      <c r="AO9" s="41">
        <f>SUMIF('прогноз на 20.05.12'!$C$7:$C$83,$C9,'прогноз на 20.05.12'!AG$7:AG$83)+SUMIF('прогноз на 20.05.12'!$C$7:$C$83,$E9,'прогноз на 20.05.12'!AG$7:AG$83)+SUMIF('прогноз на 20.05.12'!$C$7:$C$83,$G9,'прогноз на 20.05.12'!AG$7:AG$83)+SUMIF('прогноз на 20.05.12'!$C$7:$C$83,$I9,'прогноз на 20.05.12'!AG$7:AG$83)+SUMIF('прогноз на 20.05.12'!$C$7:$C$83,$K9,'прогноз на 20.05.12'!AG$7:AG$83)</f>
        <v>35.200000000000003</v>
      </c>
      <c r="AP9" s="41">
        <f>SUMIF('прогноз на 20.05.12'!$C$7:$C$83,$C9,'прогноз на 20.05.12'!AH$7:AH$83)+SUMIF('прогноз на 20.05.12'!$C$7:$C$83,$E9,'прогноз на 20.05.12'!AH$7:AH$83)+SUMIF('прогноз на 20.05.12'!$C$7:$C$83,$G9,'прогноз на 20.05.12'!AH$7:AH$83)+SUMIF('прогноз на 20.05.12'!$C$7:$C$83,$I9,'прогноз на 20.05.12'!AH$7:AH$83)+SUMIF('прогноз на 20.05.12'!$C$7:$C$83,$K9,'прогноз на 20.05.12'!AH$7:AH$83)</f>
        <v>242.8</v>
      </c>
      <c r="AQ9" s="41">
        <f>SUMIF('прогноз на 20.05.12'!$C$7:$C$83,$C9,'прогноз на 20.05.12'!AM$7:AM$83)+SUMIF('прогноз на 20.05.12'!$C$7:$C$83,$E9,'прогноз на 20.05.12'!AM$7:AM$83)+SUMIF('прогноз на 20.05.12'!$C$7:$C$83,$G9,'прогноз на 20.05.12'!AM$7:AM$83)+SUMIF('прогноз на 20.05.12'!$C$7:$C$83,$I9,'прогноз на 20.05.12'!AM$7:AM$83)+SUMIF('прогноз на 20.05.12'!$C$7:$C$83,$K9,'прогноз на 20.05.12'!AM$7:AM$83)</f>
        <v>7982.8</v>
      </c>
      <c r="AR9" s="41">
        <f>SUMIF('прогноз на 20.05.12'!$C$7:$C$83,$C9,'прогноз на 20.05.12'!AN$7:AN$83)+SUMIF('прогноз на 20.05.12'!$C$7:$C$83,$E9,'прогноз на 20.05.12'!AN$7:AN$83)+SUMIF('прогноз на 20.05.12'!$C$7:$C$83,$G9,'прогноз на 20.05.12'!AN$7:AN$83)+SUMIF('прогноз на 20.05.12'!$C$7:$C$83,$I9,'прогноз на 20.05.12'!AN$7:AN$83)+SUMIF('прогноз на 20.05.12'!$C$7:$C$83,$K9,'прогноз на 20.05.12'!AN$7:AN$83)</f>
        <v>176690.80000000002</v>
      </c>
      <c r="AS9" s="41">
        <f>SUMIF('прогноз на 20.05.12'!$C$7:$C$83,$C9,'прогноз на 20.05.12'!AO$7:AO$83)+SUMIF('прогноз на 20.05.12'!$C$7:$C$83,$E9,'прогноз на 20.05.12'!AO$7:AO$83)+SUMIF('прогноз на 20.05.12'!$C$7:$C$83,$G9,'прогноз на 20.05.12'!AO$7:AO$83)+SUMIF('прогноз на 20.05.12'!$C$7:$C$83,$I9,'прогноз на 20.05.12'!AO$7:AO$83)+SUMIF('прогноз на 20.05.12'!$C$7:$C$83,$K9,'прогноз на 20.05.12'!AO$7:AO$83)</f>
        <v>43544.400000000009</v>
      </c>
      <c r="AT9" s="41">
        <f>SUMIF('прогноз на 20.05.12'!$C$7:$C$83,$C9,'прогноз на 20.05.12'!AP$7:AP$83)+SUMIF('прогноз на 20.05.12'!$C$7:$C$83,$E9,'прогноз на 20.05.12'!AP$7:AP$83)+SUMIF('прогноз на 20.05.12'!$C$7:$C$83,$G9,'прогноз на 20.05.12'!AP$7:AP$83)+SUMIF('прогноз на 20.05.12'!$C$7:$C$83,$I9,'прогноз на 20.05.12'!AP$7:AP$83)+SUMIF('прогноз на 20.05.12'!$C$7:$C$83,$K9,'прогноз на 20.05.12'!AP$7:AP$83)</f>
        <v>228218</v>
      </c>
      <c r="AU9" s="41">
        <f>SUMIF('прогноз на 20.05.12'!$C$7:$C$83,$C9,'прогноз на 20.05.12'!AU$7:AU$83)+SUMIF('прогноз на 20.05.12'!$C$7:$C$83,$E9,'прогноз на 20.05.12'!AU$7:AU$83)+SUMIF('прогноз на 20.05.12'!$C$7:$C$83,$G9,'прогноз на 20.05.12'!AU$7:AU$83)+SUMIF('прогноз на 20.05.12'!$C$7:$C$83,$I9,'прогноз на 20.05.12'!AU$7:AU$83)+SUMIF('прогноз на 20.05.12'!$C$7:$C$83,$K9,'прогноз на 20.05.12'!AU$7:AU$83)</f>
        <v>506</v>
      </c>
      <c r="AV9" s="41">
        <f>SUMIF('прогноз на 20.05.12'!$C$7:$C$83,$C9,'прогноз на 20.05.12'!AV$7:AV$83)+SUMIF('прогноз на 20.05.12'!$C$7:$C$83,$E9,'прогноз на 20.05.12'!AV$7:AV$83)+SUMIF('прогноз на 20.05.12'!$C$7:$C$83,$G9,'прогноз на 20.05.12'!AV$7:AV$83)+SUMIF('прогноз на 20.05.12'!$C$7:$C$83,$I9,'прогноз на 20.05.12'!AV$7:AV$83)+SUMIF('прогноз на 20.05.12'!$C$7:$C$83,$K9,'прогноз на 20.05.12'!AV$7:AV$83)</f>
        <v>7493.2</v>
      </c>
      <c r="AW9" s="41">
        <f>SUMIF('прогноз на 20.05.12'!$C$7:$C$83,$C9,'прогноз на 20.05.12'!AW$7:AW$83)+SUMIF('прогноз на 20.05.12'!$C$7:$C$83,$E9,'прогноз на 20.05.12'!AW$7:AW$83)+SUMIF('прогноз на 20.05.12'!$C$7:$C$83,$G9,'прогноз на 20.05.12'!AW$7:AW$83)+SUMIF('прогноз на 20.05.12'!$C$7:$C$83,$I9,'прогноз на 20.05.12'!AW$7:AW$83)+SUMIF('прогноз на 20.05.12'!$C$7:$C$83,$K9,'прогноз на 20.05.12'!AW$7:AW$83)</f>
        <v>2192.4000000000005</v>
      </c>
      <c r="AX9" s="41">
        <f>SUMIF('прогноз на 20.05.12'!$C$7:$C$83,$C9,'прогноз на 20.05.12'!AX$7:AX$83)+SUMIF('прогноз на 20.05.12'!$C$7:$C$83,$E9,'прогноз на 20.05.12'!AX$7:AX$83)+SUMIF('прогноз на 20.05.12'!$C$7:$C$83,$G9,'прогноз на 20.05.12'!AX$7:AX$83)+SUMIF('прогноз на 20.05.12'!$C$7:$C$83,$I9,'прогноз на 20.05.12'!AX$7:AX$83)+SUMIF('прогноз на 20.05.12'!$C$7:$C$83,$K9,'прогноз на 20.05.12'!AX$7:AX$83)</f>
        <v>10191.6</v>
      </c>
      <c r="AY9" s="41">
        <f>SUMIF('прогноз на 20.05.12'!$C$7:$C$83,$C9,'прогноз на 20.05.12'!AY$7:AY$83)+SUMIF('прогноз на 20.05.12'!$C$7:$C$83,$E9,'прогноз на 20.05.12'!AY$7:AY$83)+SUMIF('прогноз на 20.05.12'!$C$7:$C$83,$G9,'прогноз на 20.05.12'!AY$7:AY$83)+SUMIF('прогноз на 20.05.12'!$C$7:$C$83,$I9,'прогноз на 20.05.12'!AY$7:AY$83)+SUMIF('прогноз на 20.05.12'!$C$7:$C$83,$K9,'прогноз на 20.05.12'!AY$7:AY$83)</f>
        <v>8488.7999999999993</v>
      </c>
      <c r="AZ9" s="41">
        <f>SUMIF('прогноз на 20.05.12'!$C$7:$C$83,$C9,'прогноз на 20.05.12'!AZ$7:AZ$83)+SUMIF('прогноз на 20.05.12'!$C$7:$C$83,$E9,'прогноз на 20.05.12'!AZ$7:AZ$83)+SUMIF('прогноз на 20.05.12'!$C$7:$C$83,$G9,'прогноз на 20.05.12'!AZ$7:AZ$83)+SUMIF('прогноз на 20.05.12'!$C$7:$C$83,$I9,'прогноз на 20.05.12'!AZ$7:AZ$83)+SUMIF('прогноз на 20.05.12'!$C$7:$C$83,$K9,'прогноз на 20.05.12'!AZ$7:AZ$83)</f>
        <v>184184.00000000003</v>
      </c>
      <c r="BA9" s="41">
        <f>SUMIF('прогноз на 20.05.12'!$C$7:$C$83,$C9,'прогноз на 20.05.12'!BA$7:BA$83)+SUMIF('прогноз на 20.05.12'!$C$7:$C$83,$E9,'прогноз на 20.05.12'!BA$7:BA$83)+SUMIF('прогноз на 20.05.12'!$C$7:$C$83,$G9,'прогноз на 20.05.12'!BA$7:BA$83)+SUMIF('прогноз на 20.05.12'!$C$7:$C$83,$I9,'прогноз на 20.05.12'!BA$7:BA$83)+SUMIF('прогноз на 20.05.12'!$C$7:$C$83,$K9,'прогноз на 20.05.12'!BA$7:BA$83)</f>
        <v>45736.80000000001</v>
      </c>
      <c r="BB9" s="41">
        <f>SUMIF('прогноз на 20.05.12'!$C$7:$C$83,$C9,'прогноз на 20.05.12'!BB$7:BB$83)+SUMIF('прогноз на 20.05.12'!$C$7:$C$83,$E9,'прогноз на 20.05.12'!BB$7:BB$83)+SUMIF('прогноз на 20.05.12'!$C$7:$C$83,$G9,'прогноз на 20.05.12'!BB$7:BB$83)+SUMIF('прогноз на 20.05.12'!$C$7:$C$83,$I9,'прогноз на 20.05.12'!BB$7:BB$83)+SUMIF('прогноз на 20.05.12'!$C$7:$C$83,$K9,'прогноз на 20.05.12'!BB$7:BB$83)</f>
        <v>238409.60000000003</v>
      </c>
      <c r="BC9" s="41">
        <f>SUMIF('прогноз на 20.05.12'!$C$7:$C$83,$C9,'прогноз на 20.05.12'!BC$7:BC$83)+SUMIF('прогноз на 20.05.12'!$C$7:$C$83,$E9,'прогноз на 20.05.12'!BC$7:BC$83)+SUMIF('прогноз на 20.05.12'!$C$7:$C$83,$G9,'прогноз на 20.05.12'!BC$7:BC$83)+SUMIF('прогноз на 20.05.12'!$C$7:$C$83,$I9,'прогноз на 20.05.12'!BC$7:BC$83)+SUMIF('прогноз на 20.05.12'!$C$7:$C$83,$K9,'прогноз на 20.05.12'!BC$7:BC$83)</f>
        <v>-203493</v>
      </c>
      <c r="BD9" s="41">
        <f>SUMIF('прогноз на 20.05.12'!$C$7:$C$83,$C9,'прогноз на 20.05.12'!BD$7:BD$83)+SUMIF('прогноз на 20.05.12'!$C$7:$C$83,$E9,'прогноз на 20.05.12'!BD$7:BD$83)+SUMIF('прогноз на 20.05.12'!$C$7:$C$83,$G9,'прогноз на 20.05.12'!BD$7:BD$83)+SUMIF('прогноз на 20.05.12'!$C$7:$C$83,$I9,'прогноз на 20.05.12'!BD$7:BD$83)+SUMIF('прогноз на 20.05.12'!$C$7:$C$83,$K9,'прогноз на 20.05.12'!BD$7:BD$83)</f>
        <v>78745</v>
      </c>
      <c r="BE9" s="41">
        <f>SUMIF('прогноз на 20.05.12'!$C$7:$C$83,$C9,'прогноз на 20.05.12'!BE$7:BE$83)+SUMIF('прогноз на 20.05.12'!$C$7:$C$83,$E9,'прогноз на 20.05.12'!BE$7:BE$83)+SUMIF('прогноз на 20.05.12'!$C$7:$C$83,$G9,'прогноз на 20.05.12'!BE$7:BE$83)+SUMIF('прогноз на 20.05.12'!$C$7:$C$83,$I9,'прогноз на 20.05.12'!BE$7:BE$83)+SUMIF('прогноз на 20.05.12'!$C$7:$C$83,$K9,'прогноз на 20.05.12'!BE$7:BE$83)</f>
        <v>-282238</v>
      </c>
      <c r="BF9" s="41">
        <f>SUMIF('прогноз на 20.05.12'!$C$7:$C$83,$C9,'прогноз на 20.05.12'!BF$7:BF$83)+SUMIF('прогноз на 20.05.12'!$C$7:$C$83,$E9,'прогноз на 20.05.12'!BF$7:BF$83)+SUMIF('прогноз на 20.05.12'!$C$7:$C$83,$G9,'прогноз на 20.05.12'!BF$7:BF$83)+SUMIF('прогноз на 20.05.12'!$C$7:$C$83,$I9,'прогноз на 20.05.12'!BF$7:BF$83)+SUMIF('прогноз на 20.05.12'!$C$7:$C$83,$K9,'прогноз на 20.05.12'!BF$7:BF$83)</f>
        <v>-441902.60000000003</v>
      </c>
      <c r="BG9" s="41">
        <f>SUMIF('прогноз на 20.05.12'!$C$7:$C$83,$C9,'прогноз на 20.05.12'!BG$7:BG$83)+SUMIF('прогноз на 20.05.12'!$C$7:$C$83,$E9,'прогноз на 20.05.12'!BG$7:BG$83)+SUMIF('прогноз на 20.05.12'!$C$7:$C$83,$G9,'прогноз на 20.05.12'!BG$7:BG$83)+SUMIF('прогноз на 20.05.12'!$C$7:$C$83,$I9,'прогноз на 20.05.12'!BG$7:BG$83)+SUMIF('прогноз на 20.05.12'!$C$7:$C$83,$K9,'прогноз на 20.05.12'!BG$7:BG$83)</f>
        <v>78745</v>
      </c>
      <c r="BH9" s="41">
        <f>SUMIF('прогноз на 20.05.12'!$C$7:$C$83,$C9,'прогноз на 20.05.12'!BH$7:BH$83)+SUMIF('прогноз на 20.05.12'!$C$7:$C$83,$E9,'прогноз на 20.05.12'!BH$7:BH$83)+SUMIF('прогноз на 20.05.12'!$C$7:$C$83,$G9,'прогноз на 20.05.12'!BH$7:BH$83)+SUMIF('прогноз на 20.05.12'!$C$7:$C$83,$I9,'прогноз на 20.05.12'!BH$7:BH$83)+SUMIF('прогноз на 20.05.12'!$C$7:$C$83,$K9,'прогноз на 20.05.12'!BH$7:BH$83)</f>
        <v>-520647.60000000003</v>
      </c>
      <c r="BI9" s="90">
        <f t="shared" si="10"/>
        <v>9.1999999999999993</v>
      </c>
      <c r="BJ9" s="90">
        <f t="shared" si="11"/>
        <v>18.333333333333332</v>
      </c>
      <c r="BK9" s="90">
        <f t="shared" si="12"/>
        <v>17</v>
      </c>
      <c r="BL9" s="90">
        <f t="shared" si="13"/>
        <v>13.111111111111111</v>
      </c>
    </row>
    <row r="10" spans="1:64" s="59" customFormat="1">
      <c r="A10" s="38">
        <v>4</v>
      </c>
      <c r="B10" s="39" t="s">
        <v>49</v>
      </c>
      <c r="C10" s="40" t="s">
        <v>187</v>
      </c>
      <c r="D10" s="56" t="s">
        <v>2</v>
      </c>
      <c r="E10" s="56" t="s">
        <v>177</v>
      </c>
      <c r="F10" s="56" t="s">
        <v>5</v>
      </c>
      <c r="G10" s="56" t="s">
        <v>180</v>
      </c>
      <c r="H10" s="56" t="s">
        <v>22</v>
      </c>
      <c r="I10" s="56" t="s">
        <v>204</v>
      </c>
      <c r="J10" s="56" t="s">
        <v>42</v>
      </c>
      <c r="K10" s="56" t="s">
        <v>248</v>
      </c>
      <c r="L10" s="41">
        <f>SUMIF('прогноз на 20.05.12'!$C$7:$C$83,$C10,'прогноз на 20.05.12'!D$7:D$83)+SUMIF('прогноз на 20.05.12'!$C$7:$C$83,$E10,'прогноз на 20.05.12'!D$7:D$83)+SUMIF('прогноз на 20.05.12'!$C$7:$C$83,$G10,'прогноз на 20.05.12'!D$7:D$83)+SUMIF('прогноз на 20.05.12'!$C$7:$C$83,$I10,'прогноз на 20.05.12'!D$7:D$83)+SUMIF('прогноз на 20.05.12'!$C$7:$C$83,$K10,'прогноз на 20.05.12'!D$7:D$83)</f>
        <v>159</v>
      </c>
      <c r="M10" s="41">
        <f>SUMIF('прогноз на 20.05.12'!$C$7:$C$83,$C10,'прогноз на 20.05.12'!E$7:E$83)+SUMIF('прогноз на 20.05.12'!$C$7:$C$83,$E10,'прогноз на 20.05.12'!E$7:E$83)+SUMIF('прогноз на 20.05.12'!$C$7:$C$83,$G10,'прогноз на 20.05.12'!E$7:E$83)+SUMIF('прогноз на 20.05.12'!$C$7:$C$83,$I10,'прогноз на 20.05.12'!E$7:E$83)+SUMIF('прогноз на 20.05.12'!$C$7:$C$83,$K10,'прогноз на 20.05.12'!E$7:E$83)</f>
        <v>252</v>
      </c>
      <c r="N10" s="41">
        <f>SUMIF('прогноз на 20.05.12'!$C$7:$C$83,$C10,'прогноз на 20.05.12'!F$7:F$83)+SUMIF('прогноз на 20.05.12'!$C$7:$C$83,$E10,'прогноз на 20.05.12'!F$7:F$83)+SUMIF('прогноз на 20.05.12'!$C$7:$C$83,$G10,'прогноз на 20.05.12'!F$7:F$83)+SUMIF('прогноз на 20.05.12'!$C$7:$C$83,$I10,'прогноз на 20.05.12'!F$7:F$83)+SUMIF('прогноз на 20.05.12'!$C$7:$C$83,$K10,'прогноз на 20.05.12'!F$7:F$83)</f>
        <v>85</v>
      </c>
      <c r="O10" s="44">
        <f t="shared" si="6"/>
        <v>496</v>
      </c>
      <c r="P10" s="41">
        <f>SUMIF('прогноз на 20.05.12'!$C$7:$C$83,$C10,'прогноз на 20.05.12'!H$7:H$83)+SUMIF('прогноз на 20.05.12'!$C$7:$C$83,$E10,'прогноз на 20.05.12'!H$7:H$83)+SUMIF('прогноз на 20.05.12'!$C$7:$C$83,$G10,'прогноз на 20.05.12'!H$7:H$83)+SUMIF('прогноз на 20.05.12'!$C$7:$C$83,$I10,'прогноз на 20.05.12'!H$7:H$83)+SUMIF('прогноз на 20.05.12'!$C$7:$C$83,$K10,'прогноз на 20.05.12'!H$7:H$83)</f>
        <v>17</v>
      </c>
      <c r="Q10" s="41">
        <f>SUMIF('прогноз на 20.05.12'!$C$7:$C$83,$C10,'прогноз на 20.05.12'!I$7:I$83)+SUMIF('прогноз на 20.05.12'!$C$7:$C$83,$E10,'прогноз на 20.05.12'!I$7:I$83)+SUMIF('прогноз на 20.05.12'!$C$7:$C$83,$G10,'прогноз на 20.05.12'!I$7:I$83)+SUMIF('прогноз на 20.05.12'!$C$7:$C$83,$I10,'прогноз на 20.05.12'!I$7:I$83)+SUMIF('прогноз на 20.05.12'!$C$7:$C$83,$K10,'прогноз на 20.05.12'!I$7:I$83)</f>
        <v>13</v>
      </c>
      <c r="R10" s="41">
        <f>SUMIF('прогноз на 20.05.12'!$C$7:$C$83,$C10,'прогноз на 20.05.12'!J$7:J$83)+SUMIF('прогноз на 20.05.12'!$C$7:$C$83,$E10,'прогноз на 20.05.12'!J$7:J$83)+SUMIF('прогноз на 20.05.12'!$C$7:$C$83,$G10,'прогноз на 20.05.12'!J$7:J$83)+SUMIF('прогноз на 20.05.12'!$C$7:$C$83,$I10,'прогноз на 20.05.12'!J$7:J$83)+SUMIF('прогноз на 20.05.12'!$C$7:$C$83,$K10,'прогноз на 20.05.12'!J$7:J$83)</f>
        <v>4</v>
      </c>
      <c r="S10" s="45">
        <f t="shared" si="7"/>
        <v>34</v>
      </c>
      <c r="T10" s="41">
        <f>SUMIF('прогноз на 20.05.12'!$C$7:$C$83,$C10,'прогноз на 20.05.12'!L$7:L$83)+SUMIF('прогноз на 20.05.12'!$C$7:$C$83,$E10,'прогноз на 20.05.12'!L$7:L$83)+SUMIF('прогноз на 20.05.12'!$C$7:$C$83,$G10,'прогноз на 20.05.12'!L$7:L$83)+SUMIF('прогноз на 20.05.12'!$C$7:$C$83,$I10,'прогноз на 20.05.12'!L$7:L$83)+SUMIF('прогноз на 20.05.12'!$C$7:$C$83,$K10,'прогноз на 20.05.12'!L$7:L$83)</f>
        <v>0</v>
      </c>
      <c r="U10" s="41">
        <f>SUMIF('прогноз на 20.05.12'!$C$7:$C$83,$C10,'прогноз на 20.05.12'!M$7:M$83)+SUMIF('прогноз на 20.05.12'!$C$7:$C$83,$E10,'прогноз на 20.05.12'!M$7:M$83)+SUMIF('прогноз на 20.05.12'!$C$7:$C$83,$G10,'прогноз на 20.05.12'!M$7:M$83)+SUMIF('прогноз на 20.05.12'!$C$7:$C$83,$I10,'прогноз на 20.05.12'!M$7:M$83)+SUMIF('прогноз на 20.05.12'!$C$7:$C$83,$K10,'прогноз на 20.05.12'!M$7:M$83)</f>
        <v>0</v>
      </c>
      <c r="V10" s="41">
        <f>SUMIF('прогноз на 20.05.12'!$C$7:$C$83,$C10,'прогноз на 20.05.12'!N$7:N$83)+SUMIF('прогноз на 20.05.12'!$C$7:$C$83,$E10,'прогноз на 20.05.12'!N$7:N$83)+SUMIF('прогноз на 20.05.12'!$C$7:$C$83,$G10,'прогноз на 20.05.12'!N$7:N$83)+SUMIF('прогноз на 20.05.12'!$C$7:$C$83,$I10,'прогноз на 20.05.12'!N$7:N$83)+SUMIF('прогноз на 20.05.12'!$C$7:$C$83,$K10,'прогноз на 20.05.12'!N$7:N$83)</f>
        <v>1</v>
      </c>
      <c r="W10" s="45">
        <f t="shared" si="8"/>
        <v>1</v>
      </c>
      <c r="X10" s="41">
        <f>SUMIF('прогноз на 20.05.12'!$C$7:$C$83,$C10,'прогноз на 20.05.12'!P$7:P$83)+SUMIF('прогноз на 20.05.12'!$C$7:$C$83,$E10,'прогноз на 20.05.12'!P$7:P$83)+SUMIF('прогноз на 20.05.12'!$C$7:$C$83,$G10,'прогноз на 20.05.12'!P$7:P$83)+SUMIF('прогноз на 20.05.12'!$C$7:$C$83,$I10,'прогноз на 20.05.12'!P$7:P$83)+SUMIF('прогноз на 20.05.12'!$C$7:$C$83,$K10,'прогноз на 20.05.12'!P$7:P$83)</f>
        <v>2</v>
      </c>
      <c r="Y10" s="41">
        <f>SUMIF('прогноз на 20.05.12'!$C$7:$C$83,$C10,'прогноз на 20.05.12'!Q$7:Q$83)+SUMIF('прогноз на 20.05.12'!$C$7:$C$83,$E10,'прогноз на 20.05.12'!Q$7:Q$83)+SUMIF('прогноз на 20.05.12'!$C$7:$C$83,$G10,'прогноз на 20.05.12'!Q$7:Q$83)+SUMIF('прогноз на 20.05.12'!$C$7:$C$83,$I10,'прогноз на 20.05.12'!Q$7:Q$83)+SUMIF('прогноз на 20.05.12'!$C$7:$C$83,$K10,'прогноз на 20.05.12'!Q$7:Q$83)</f>
        <v>50</v>
      </c>
      <c r="Z10" s="41">
        <f>SUMIF('прогноз на 20.05.12'!$C$7:$C$83,$C10,'прогноз на 20.05.12'!R$7:R$83)+SUMIF('прогноз на 20.05.12'!$C$7:$C$83,$E10,'прогноз на 20.05.12'!R$7:R$83)+SUMIF('прогноз на 20.05.12'!$C$7:$C$83,$G10,'прогноз на 20.05.12'!R$7:R$83)+SUMIF('прогноз на 20.05.12'!$C$7:$C$83,$I10,'прогноз на 20.05.12'!R$7:R$83)+SUMIF('прогноз на 20.05.12'!$C$7:$C$83,$K10,'прогноз на 20.05.12'!R$7:R$83)</f>
        <v>0</v>
      </c>
      <c r="AA10" s="41">
        <f>SUMIF('прогноз на 20.05.12'!$C$7:$C$83,$C10,'прогноз на 20.05.12'!S$7:S$83)+SUMIF('прогноз на 20.05.12'!$C$7:$C$83,$E10,'прогноз на 20.05.12'!S$7:S$83)+SUMIF('прогноз на 20.05.12'!$C$7:$C$83,$G10,'прогноз на 20.05.12'!S$7:S$83)+SUMIF('прогноз на 20.05.12'!$C$7:$C$83,$I10,'прогноз на 20.05.12'!S$7:S$83)+SUMIF('прогноз на 20.05.12'!$C$7:$C$83,$K10,'прогноз на 20.05.12'!S$7:S$83)</f>
        <v>238</v>
      </c>
      <c r="AB10" s="41">
        <f>SUMIF('прогноз на 20.05.12'!$C$7:$C$83,$C10,'прогноз на 20.05.12'!T$7:T$83)+SUMIF('прогноз на 20.05.12'!$C$7:$C$83,$E10,'прогноз на 20.05.12'!T$7:T$83)+SUMIF('прогноз на 20.05.12'!$C$7:$C$83,$G10,'прогноз на 20.05.12'!T$7:T$83)+SUMIF('прогноз на 20.05.12'!$C$7:$C$83,$I10,'прогноз на 20.05.12'!T$7:T$83)+SUMIF('прогноз на 20.05.12'!$C$7:$C$83,$K10,'прогноз на 20.05.12'!T$7:T$83)</f>
        <v>182</v>
      </c>
      <c r="AC10" s="41">
        <f>SUMIF('прогноз на 20.05.12'!$C$7:$C$83,$C10,'прогноз на 20.05.12'!U$7:U$83)+SUMIF('прогноз на 20.05.12'!$C$7:$C$83,$E10,'прогноз на 20.05.12'!U$7:U$83)+SUMIF('прогноз на 20.05.12'!$C$7:$C$83,$G10,'прогноз на 20.05.12'!U$7:U$83)+SUMIF('прогноз на 20.05.12'!$C$7:$C$83,$I10,'прогноз на 20.05.12'!U$7:U$83)+SUMIF('прогноз на 20.05.12'!$C$7:$C$83,$K10,'прогноз на 20.05.12'!U$7:U$83)</f>
        <v>56</v>
      </c>
      <c r="AD10" s="41">
        <f>SUMIF('прогноз на 20.05.12'!$C$7:$C$83,$C10,'прогноз на 20.05.12'!V$7:V$83)+SUMIF('прогноз на 20.05.12'!$C$7:$C$83,$E10,'прогноз на 20.05.12'!V$7:V$83)+SUMIF('прогноз на 20.05.12'!$C$7:$C$83,$G10,'прогноз на 20.05.12'!V$7:V$83)+SUMIF('прогноз на 20.05.12'!$C$7:$C$83,$I10,'прогноз на 20.05.12'!V$7:V$83)+SUMIF('прогноз на 20.05.12'!$C$7:$C$83,$K10,'прогноз на 20.05.12'!V$7:V$83)</f>
        <v>476</v>
      </c>
      <c r="AE10" s="41">
        <f>SUMIF('прогноз на 20.05.12'!$C$7:$C$83,$C10,'прогноз на 20.05.12'!W$7:W$83)+SUMIF('прогноз на 20.05.12'!$C$7:$C$83,$E10,'прогноз на 20.05.12'!W$7:W$83)+SUMIF('прогноз на 20.05.12'!$C$7:$C$83,$G10,'прогноз на 20.05.12'!W$7:W$83)+SUMIF('прогноз на 20.05.12'!$C$7:$C$83,$I10,'прогноз на 20.05.12'!W$7:W$83)+SUMIF('прогноз на 20.05.12'!$C$7:$C$83,$K10,'прогноз на 20.05.12'!W$7:W$83)</f>
        <v>79</v>
      </c>
      <c r="AF10" s="41">
        <f>SUMIF('прогноз на 20.05.12'!$C$7:$C$83,$C10,'прогноз на 20.05.12'!X$7:X$83)+SUMIF('прогноз на 20.05.12'!$C$7:$C$83,$E10,'прогноз на 20.05.12'!X$7:X$83)+SUMIF('прогноз на 20.05.12'!$C$7:$C$83,$G10,'прогноз на 20.05.12'!X$7:X$83)+SUMIF('прогноз на 20.05.12'!$C$7:$C$83,$I10,'прогноз на 20.05.12'!X$7:X$83)+SUMIF('прогноз на 20.05.12'!$C$7:$C$83,$K10,'прогноз на 20.05.12'!X$7:X$83)</f>
        <v>-70</v>
      </c>
      <c r="AG10" s="41">
        <f>SUMIF('прогноз на 20.05.12'!$C$7:$C$83,$C10,'прогноз на 20.05.12'!Y$7:Y$83)+SUMIF('прогноз на 20.05.12'!$C$7:$C$83,$E10,'прогноз на 20.05.12'!Y$7:Y$83)+SUMIF('прогноз на 20.05.12'!$C$7:$C$83,$G10,'прогноз на 20.05.12'!Y$7:Y$83)+SUMIF('прогноз на 20.05.12'!$C$7:$C$83,$I10,'прогноз на 20.05.12'!Y$7:Y$83)+SUMIF('прогноз на 20.05.12'!$C$7:$C$83,$K10,'прогноз на 20.05.12'!Y$7:Y$83)</f>
        <v>-29</v>
      </c>
      <c r="AH10" s="41">
        <f>SUMIF('прогноз на 20.05.12'!$C$7:$C$83,$C10,'прогноз на 20.05.12'!Z$7:Z$83)+SUMIF('прогноз на 20.05.12'!$C$7:$C$83,$E10,'прогноз на 20.05.12'!Z$7:Z$83)+SUMIF('прогноз на 20.05.12'!$C$7:$C$83,$G10,'прогноз на 20.05.12'!Z$7:Z$83)+SUMIF('прогноз на 20.05.12'!$C$7:$C$83,$I10,'прогноз на 20.05.12'!Z$7:Z$83)+SUMIF('прогноз на 20.05.12'!$C$7:$C$83,$K10,'прогноз на 20.05.12'!Z$7:Z$83)</f>
        <v>-20</v>
      </c>
      <c r="AI10" s="41">
        <f>SUMIF('прогноз на 20.05.12'!$C$7:$C$83,$C10,'прогноз на 20.05.12'!AA$7:AA$83)+SUMIF('прогноз на 20.05.12'!$C$7:$C$83,$E10,'прогноз на 20.05.12'!AA$7:AA$83)+SUMIF('прогноз на 20.05.12'!$C$7:$C$83,$G10,'прогноз на 20.05.12'!AA$7:AA$83)+SUMIF('прогноз на 20.05.12'!$C$7:$C$83,$I10,'прогноз на 20.05.12'!AA$7:AA$83)+SUMIF('прогноз на 20.05.12'!$C$7:$C$83,$K10,'прогноз на 20.05.12'!AA$7:AA$83)</f>
        <v>59.25</v>
      </c>
      <c r="AJ10" s="41">
        <f>SUMIF('прогноз на 20.05.12'!$C$7:$C$83,$C10,'прогноз на 20.05.12'!AB$7:AB$83)+SUMIF('прогноз на 20.05.12'!$C$7:$C$83,$E10,'прогноз на 20.05.12'!AB$7:AB$83)+SUMIF('прогноз на 20.05.12'!$C$7:$C$83,$G10,'прогноз на 20.05.12'!AB$7:AB$83)+SUMIF('прогноз на 20.05.12'!$C$7:$C$83,$I10,'прогноз на 20.05.12'!AB$7:AB$83)+SUMIF('прогноз на 20.05.12'!$C$7:$C$83,$K10,'прогноз на 20.05.12'!AB$7:AB$83)</f>
        <v>11.9</v>
      </c>
      <c r="AK10" s="41">
        <f>SUMIF('прогноз на 20.05.12'!$C$7:$C$83,$C10,'прогноз на 20.05.12'!AC$7:AC$83)+SUMIF('прогноз на 20.05.12'!$C$7:$C$83,$E10,'прогноз на 20.05.12'!AC$7:AC$83)+SUMIF('прогноз на 20.05.12'!$C$7:$C$83,$G10,'прогноз на 20.05.12'!AC$7:AC$83)+SUMIF('прогноз на 20.05.12'!$C$7:$C$83,$I10,'прогноз на 20.05.12'!AC$7:AC$83)+SUMIF('прогноз на 20.05.12'!$C$7:$C$83,$K10,'прогноз на 20.05.12'!AC$7:AC$83)</f>
        <v>4.9300000000000006</v>
      </c>
      <c r="AL10" s="41">
        <f>SUMIF('прогноз на 20.05.12'!$C$7:$C$83,$C10,'прогноз на 20.05.12'!AD$7:AD$83)+SUMIF('прогноз на 20.05.12'!$C$7:$C$83,$E10,'прогноз на 20.05.12'!AD$7:AD$83)+SUMIF('прогноз на 20.05.12'!$C$7:$C$83,$G10,'прогноз на 20.05.12'!AD$7:AD$83)+SUMIF('прогноз на 20.05.12'!$C$7:$C$83,$I10,'прогноз на 20.05.12'!AD$7:AD$83)+SUMIF('прогноз на 20.05.12'!$C$7:$C$83,$K10,'прогноз на 20.05.12'!AD$7:AD$83)</f>
        <v>76.08</v>
      </c>
      <c r="AM10" s="41">
        <f>SUMIF('прогноз на 20.05.12'!$C$7:$C$83,$C10,'прогноз на 20.05.12'!AE$7:AE$83)+SUMIF('прогноз на 20.05.12'!$C$7:$C$83,$E10,'прогноз на 20.05.12'!AE$7:AE$83)+SUMIF('прогноз на 20.05.12'!$C$7:$C$83,$G10,'прогноз на 20.05.12'!AE$7:AE$83)+SUMIF('прогноз на 20.05.12'!$C$7:$C$83,$I10,'прогноз на 20.05.12'!AE$7:AE$83)+SUMIF('прогноз на 20.05.12'!$C$7:$C$83,$K10,'прогноз на 20.05.12'!AE$7:AE$83)</f>
        <v>218.25</v>
      </c>
      <c r="AN10" s="41">
        <f>SUMIF('прогноз на 20.05.12'!$C$7:$C$83,$C10,'прогноз на 20.05.12'!AF$7:AF$83)+SUMIF('прогноз на 20.05.12'!$C$7:$C$83,$E10,'прогноз на 20.05.12'!AF$7:AF$83)+SUMIF('прогноз на 20.05.12'!$C$7:$C$83,$G10,'прогноз на 20.05.12'!AF$7:AF$83)+SUMIF('прогноз на 20.05.12'!$C$7:$C$83,$I10,'прогноз на 20.05.12'!AF$7:AF$83)+SUMIF('прогноз на 20.05.12'!$C$7:$C$83,$K10,'прогноз на 20.05.12'!AF$7:AF$83)</f>
        <v>263.89999999999998</v>
      </c>
      <c r="AO10" s="41">
        <f>SUMIF('прогноз на 20.05.12'!$C$7:$C$83,$C10,'прогноз на 20.05.12'!AG$7:AG$83)+SUMIF('прогноз на 20.05.12'!$C$7:$C$83,$E10,'прогноз на 20.05.12'!AG$7:AG$83)+SUMIF('прогноз на 20.05.12'!$C$7:$C$83,$G10,'прогноз на 20.05.12'!AG$7:AG$83)+SUMIF('прогноз на 20.05.12'!$C$7:$C$83,$I10,'прогноз на 20.05.12'!AG$7:AG$83)+SUMIF('прогноз на 20.05.12'!$C$7:$C$83,$K10,'прогноз на 20.05.12'!AG$7:AG$83)</f>
        <v>89.93</v>
      </c>
      <c r="AP10" s="41">
        <f>SUMIF('прогноз на 20.05.12'!$C$7:$C$83,$C10,'прогноз на 20.05.12'!AH$7:AH$83)+SUMIF('прогноз на 20.05.12'!$C$7:$C$83,$E10,'прогноз на 20.05.12'!AH$7:AH$83)+SUMIF('прогноз на 20.05.12'!$C$7:$C$83,$G10,'прогноз на 20.05.12'!AH$7:AH$83)+SUMIF('прогноз на 20.05.12'!$C$7:$C$83,$I10,'прогноз на 20.05.12'!AH$7:AH$83)+SUMIF('прогноз на 20.05.12'!$C$7:$C$83,$K10,'прогноз на 20.05.12'!AH$7:AH$83)</f>
        <v>572.07999999999993</v>
      </c>
      <c r="AQ10" s="41">
        <f>SUMIF('прогноз на 20.05.12'!$C$7:$C$83,$C10,'прогноз на 20.05.12'!AM$7:AM$83)+SUMIF('прогноз на 20.05.12'!$C$7:$C$83,$E10,'прогноз на 20.05.12'!AM$7:AM$83)+SUMIF('прогноз на 20.05.12'!$C$7:$C$83,$G10,'прогноз на 20.05.12'!AM$7:AM$83)+SUMIF('прогноз на 20.05.12'!$C$7:$C$83,$I10,'прогноз на 20.05.12'!AM$7:AM$83)+SUMIF('прогноз на 20.05.12'!$C$7:$C$83,$K10,'прогноз на 20.05.12'!AM$7:AM$83)</f>
        <v>1182452.25</v>
      </c>
      <c r="AR10" s="41">
        <f>SUMIF('прогноз на 20.05.12'!$C$7:$C$83,$C10,'прогноз на 20.05.12'!AN$7:AN$83)+SUMIF('прогноз на 20.05.12'!$C$7:$C$83,$E10,'прогноз на 20.05.12'!AN$7:AN$83)+SUMIF('прогноз на 20.05.12'!$C$7:$C$83,$G10,'прогноз на 20.05.12'!AN$7:AN$83)+SUMIF('прогноз на 20.05.12'!$C$7:$C$83,$I10,'прогноз на 20.05.12'!AN$7:AN$83)+SUMIF('прогноз на 20.05.12'!$C$7:$C$83,$K10,'прогноз на 20.05.12'!AN$7:AN$83)</f>
        <v>574698.6</v>
      </c>
      <c r="AS10" s="41">
        <f>SUMIF('прогноз на 20.05.12'!$C$7:$C$83,$C10,'прогноз на 20.05.12'!AO$7:AO$83)+SUMIF('прогноз на 20.05.12'!$C$7:$C$83,$E10,'прогноз на 20.05.12'!AO$7:AO$83)+SUMIF('прогноз на 20.05.12'!$C$7:$C$83,$G10,'прогноз на 20.05.12'!AO$7:AO$83)+SUMIF('прогноз на 20.05.12'!$C$7:$C$83,$I10,'прогноз на 20.05.12'!AO$7:AO$83)+SUMIF('прогноз на 20.05.12'!$C$7:$C$83,$K10,'прогноз на 20.05.12'!AO$7:AO$83)</f>
        <v>276780.06000000006</v>
      </c>
      <c r="AT10" s="41">
        <f>SUMIF('прогноз на 20.05.12'!$C$7:$C$83,$C10,'прогноз на 20.05.12'!AP$7:AP$83)+SUMIF('прогноз на 20.05.12'!$C$7:$C$83,$E10,'прогноз на 20.05.12'!AP$7:AP$83)+SUMIF('прогноз на 20.05.12'!$C$7:$C$83,$G10,'прогноз на 20.05.12'!AP$7:AP$83)+SUMIF('прогноз на 20.05.12'!$C$7:$C$83,$I10,'прогноз на 20.05.12'!AP$7:AP$83)+SUMIF('прогноз на 20.05.12'!$C$7:$C$83,$K10,'прогноз на 20.05.12'!AP$7:AP$83)</f>
        <v>2033930.9100000001</v>
      </c>
      <c r="AU10" s="41">
        <f>SUMIF('прогноз на 20.05.12'!$C$7:$C$83,$C10,'прогноз на 20.05.12'!AU$7:AU$83)+SUMIF('прогноз на 20.05.12'!$C$7:$C$83,$E10,'прогноз на 20.05.12'!AU$7:AU$83)+SUMIF('прогноз на 20.05.12'!$C$7:$C$83,$G10,'прогноз на 20.05.12'!AU$7:AU$83)+SUMIF('прогноз на 20.05.12'!$C$7:$C$83,$I10,'прогноз на 20.05.12'!AU$7:AU$83)+SUMIF('прогноз на 20.05.12'!$C$7:$C$83,$K10,'прогноз на 20.05.12'!AU$7:AU$83)</f>
        <v>74951.25</v>
      </c>
      <c r="AV10" s="41">
        <f>SUMIF('прогноз на 20.05.12'!$C$7:$C$83,$C10,'прогноз на 20.05.12'!AV$7:AV$83)+SUMIF('прогноз на 20.05.12'!$C$7:$C$83,$E10,'прогноз на 20.05.12'!AV$7:AV$83)+SUMIF('прогноз на 20.05.12'!$C$7:$C$83,$G10,'прогноз на 20.05.12'!AV$7:AV$83)+SUMIF('прогноз на 20.05.12'!$C$7:$C$83,$I10,'прогноз на 20.05.12'!AV$7:AV$83)+SUMIF('прогноз на 20.05.12'!$C$7:$C$83,$K10,'прогноз на 20.05.12'!AV$7:AV$83)</f>
        <v>17147.900000000001</v>
      </c>
      <c r="AW10" s="41">
        <f>SUMIF('прогноз на 20.05.12'!$C$7:$C$83,$C10,'прогноз на 20.05.12'!AW$7:AW$83)+SUMIF('прогноз на 20.05.12'!$C$7:$C$83,$E10,'прогноз на 20.05.12'!AW$7:AW$83)+SUMIF('прогноз на 20.05.12'!$C$7:$C$83,$G10,'прогноз на 20.05.12'!AW$7:AW$83)+SUMIF('прогноз на 20.05.12'!$C$7:$C$83,$I10,'прогноз на 20.05.12'!AW$7:AW$83)+SUMIF('прогноз на 20.05.12'!$C$7:$C$83,$K10,'прогноз на 20.05.12'!AW$7:AW$83)</f>
        <v>9007.11</v>
      </c>
      <c r="AX10" s="41">
        <f>SUMIF('прогноз на 20.05.12'!$C$7:$C$83,$C10,'прогноз на 20.05.12'!AX$7:AX$83)+SUMIF('прогноз на 20.05.12'!$C$7:$C$83,$E10,'прогноз на 20.05.12'!AX$7:AX$83)+SUMIF('прогноз на 20.05.12'!$C$7:$C$83,$G10,'прогноз на 20.05.12'!AX$7:AX$83)+SUMIF('прогноз на 20.05.12'!$C$7:$C$83,$I10,'прогноз на 20.05.12'!AX$7:AX$83)+SUMIF('прогноз на 20.05.12'!$C$7:$C$83,$K10,'прогноз на 20.05.12'!AX$7:AX$83)</f>
        <v>101106.26000000001</v>
      </c>
      <c r="AY10" s="41">
        <f>SUMIF('прогноз на 20.05.12'!$C$7:$C$83,$C10,'прогноз на 20.05.12'!AY$7:AY$83)+SUMIF('прогноз на 20.05.12'!$C$7:$C$83,$E10,'прогноз на 20.05.12'!AY$7:AY$83)+SUMIF('прогноз на 20.05.12'!$C$7:$C$83,$G10,'прогноз на 20.05.12'!AY$7:AY$83)+SUMIF('прогноз на 20.05.12'!$C$7:$C$83,$I10,'прогноз на 20.05.12'!AY$7:AY$83)+SUMIF('прогноз на 20.05.12'!$C$7:$C$83,$K10,'прогноз на 20.05.12'!AY$7:AY$83)</f>
        <v>1257403.5</v>
      </c>
      <c r="AZ10" s="41">
        <f>SUMIF('прогноз на 20.05.12'!$C$7:$C$83,$C10,'прогноз на 20.05.12'!AZ$7:AZ$83)+SUMIF('прогноз на 20.05.12'!$C$7:$C$83,$E10,'прогноз на 20.05.12'!AZ$7:AZ$83)+SUMIF('прогноз на 20.05.12'!$C$7:$C$83,$G10,'прогноз на 20.05.12'!AZ$7:AZ$83)+SUMIF('прогноз на 20.05.12'!$C$7:$C$83,$I10,'прогноз на 20.05.12'!AZ$7:AZ$83)+SUMIF('прогноз на 20.05.12'!$C$7:$C$83,$K10,'прогноз на 20.05.12'!AZ$7:AZ$83)</f>
        <v>591846.5</v>
      </c>
      <c r="BA10" s="41">
        <f>SUMIF('прогноз на 20.05.12'!$C$7:$C$83,$C10,'прогноз на 20.05.12'!BA$7:BA$83)+SUMIF('прогноз на 20.05.12'!$C$7:$C$83,$E10,'прогноз на 20.05.12'!BA$7:BA$83)+SUMIF('прогноз на 20.05.12'!$C$7:$C$83,$G10,'прогноз на 20.05.12'!BA$7:BA$83)+SUMIF('прогноз на 20.05.12'!$C$7:$C$83,$I10,'прогноз на 20.05.12'!BA$7:BA$83)+SUMIF('прогноз на 20.05.12'!$C$7:$C$83,$K10,'прогноз на 20.05.12'!BA$7:BA$83)</f>
        <v>285787.17000000004</v>
      </c>
      <c r="BB10" s="41">
        <f>SUMIF('прогноз на 20.05.12'!$C$7:$C$83,$C10,'прогноз на 20.05.12'!BB$7:BB$83)+SUMIF('прогноз на 20.05.12'!$C$7:$C$83,$E10,'прогноз на 20.05.12'!BB$7:BB$83)+SUMIF('прогноз на 20.05.12'!$C$7:$C$83,$G10,'прогноз на 20.05.12'!BB$7:BB$83)+SUMIF('прогноз на 20.05.12'!$C$7:$C$83,$I10,'прогноз на 20.05.12'!BB$7:BB$83)+SUMIF('прогноз на 20.05.12'!$C$7:$C$83,$K10,'прогноз на 20.05.12'!BB$7:BB$83)</f>
        <v>2135037.17</v>
      </c>
      <c r="BC10" s="41">
        <f>SUMIF('прогноз на 20.05.12'!$C$7:$C$83,$C10,'прогноз на 20.05.12'!BC$7:BC$83)+SUMIF('прогноз на 20.05.12'!$C$7:$C$83,$E10,'прогноз на 20.05.12'!BC$7:BC$83)+SUMIF('прогноз на 20.05.12'!$C$7:$C$83,$G10,'прогноз на 20.05.12'!BC$7:BC$83)+SUMIF('прогноз на 20.05.12'!$C$7:$C$83,$I10,'прогноз на 20.05.12'!BC$7:BC$83)+SUMIF('прогноз на 20.05.12'!$C$7:$C$83,$K10,'прогноз на 20.05.12'!BC$7:BC$83)</f>
        <v>-4833701</v>
      </c>
      <c r="BD10" s="41">
        <f>SUMIF('прогноз на 20.05.12'!$C$7:$C$83,$C10,'прогноз на 20.05.12'!BD$7:BD$83)+SUMIF('прогноз на 20.05.12'!$C$7:$C$83,$E10,'прогноз на 20.05.12'!BD$7:BD$83)+SUMIF('прогноз на 20.05.12'!$C$7:$C$83,$G10,'прогноз на 20.05.12'!BD$7:BD$83)+SUMIF('прогноз на 20.05.12'!$C$7:$C$83,$I10,'прогноз на 20.05.12'!BD$7:BD$83)+SUMIF('прогноз на 20.05.12'!$C$7:$C$83,$K10,'прогноз на 20.05.12'!BD$7:BD$83)</f>
        <v>525446</v>
      </c>
      <c r="BE10" s="41">
        <f>SUMIF('прогноз на 20.05.12'!$C$7:$C$83,$C10,'прогноз на 20.05.12'!BE$7:BE$83)+SUMIF('прогноз на 20.05.12'!$C$7:$C$83,$E10,'прогноз на 20.05.12'!BE$7:BE$83)+SUMIF('прогноз на 20.05.12'!$C$7:$C$83,$G10,'прогноз на 20.05.12'!BE$7:BE$83)+SUMIF('прогноз на 20.05.12'!$C$7:$C$83,$I10,'прогноз на 20.05.12'!BE$7:BE$83)+SUMIF('прогноз на 20.05.12'!$C$7:$C$83,$K10,'прогноз на 20.05.12'!BE$7:BE$83)</f>
        <v>-5359147</v>
      </c>
      <c r="BF10" s="41">
        <f>SUMIF('прогноз на 20.05.12'!$C$7:$C$83,$C10,'прогноз на 20.05.12'!BF$7:BF$83)+SUMIF('прогноз на 20.05.12'!$C$7:$C$83,$E10,'прогноз на 20.05.12'!BF$7:BF$83)+SUMIF('прогноз на 20.05.12'!$C$7:$C$83,$G10,'прогноз на 20.05.12'!BF$7:BF$83)+SUMIF('прогноз на 20.05.12'!$C$7:$C$83,$I10,'прогноз на 20.05.12'!BF$7:BF$83)+SUMIF('прогноз на 20.05.12'!$C$7:$C$83,$K10,'прогноз на 20.05.12'!BF$7:BF$83)</f>
        <v>-6968738.1699999999</v>
      </c>
      <c r="BG10" s="41">
        <f>SUMIF('прогноз на 20.05.12'!$C$7:$C$83,$C10,'прогноз на 20.05.12'!BG$7:BG$83)+SUMIF('прогноз на 20.05.12'!$C$7:$C$83,$E10,'прогноз на 20.05.12'!BG$7:BG$83)+SUMIF('прогноз на 20.05.12'!$C$7:$C$83,$G10,'прогноз на 20.05.12'!BG$7:BG$83)+SUMIF('прогноз на 20.05.12'!$C$7:$C$83,$I10,'прогноз на 20.05.12'!BG$7:BG$83)+SUMIF('прогноз на 20.05.12'!$C$7:$C$83,$K10,'прогноз на 20.05.12'!BG$7:BG$83)</f>
        <v>0</v>
      </c>
      <c r="BH10" s="41">
        <f>SUMIF('прогноз на 20.05.12'!$C$7:$C$83,$C10,'прогноз на 20.05.12'!BH$7:BH$83)+SUMIF('прогноз на 20.05.12'!$C$7:$C$83,$E10,'прогноз на 20.05.12'!BH$7:BH$83)+SUMIF('прогноз на 20.05.12'!$C$7:$C$83,$G10,'прогноз на 20.05.12'!BH$7:BH$83)+SUMIF('прогноз на 20.05.12'!$C$7:$C$83,$I10,'прогноз на 20.05.12'!BH$7:BH$83)+SUMIF('прогноз на 20.05.12'!$C$7:$C$83,$K10,'прогноз на 20.05.12'!BH$7:BH$83)</f>
        <v>-6968738.1699999999</v>
      </c>
      <c r="BI10" s="90">
        <f t="shared" si="10"/>
        <v>9.3529411764705888</v>
      </c>
      <c r="BJ10" s="90">
        <f t="shared" si="11"/>
        <v>19.384615384615383</v>
      </c>
      <c r="BK10" s="90">
        <f t="shared" si="12"/>
        <v>21.25</v>
      </c>
      <c r="BL10" s="90">
        <f t="shared" si="13"/>
        <v>14.588235294117647</v>
      </c>
    </row>
    <row r="11" spans="1:64" s="59" customFormat="1" ht="18.75">
      <c r="A11" s="38">
        <v>5</v>
      </c>
      <c r="B11" s="39" t="s">
        <v>59</v>
      </c>
      <c r="C11" s="40" t="s">
        <v>189</v>
      </c>
      <c r="D11" s="58"/>
      <c r="E11" s="58"/>
      <c r="F11" s="58"/>
      <c r="G11" s="58"/>
      <c r="H11" s="58"/>
      <c r="I11" s="58"/>
      <c r="J11" s="58"/>
      <c r="K11" s="58"/>
      <c r="L11" s="41">
        <f>SUMIF('прогноз на 20.05.12'!$C$7:$C$83,$C11,'прогноз на 20.05.12'!D$7:D$83)+SUMIF('прогноз на 20.05.12'!$C$7:$C$83,$E11,'прогноз на 20.05.12'!D$7:D$83)+SUMIF('прогноз на 20.05.12'!$C$7:$C$83,$G11,'прогноз на 20.05.12'!D$7:D$83)+SUMIF('прогноз на 20.05.12'!$C$7:$C$83,$I11,'прогноз на 20.05.12'!D$7:D$83)+SUMIF('прогноз на 20.05.12'!$C$7:$C$83,$K11,'прогноз на 20.05.12'!D$7:D$83)</f>
        <v>21</v>
      </c>
      <c r="M11" s="41">
        <f>SUMIF('прогноз на 20.05.12'!$C$7:$C$83,$C11,'прогноз на 20.05.12'!E$7:E$83)+SUMIF('прогноз на 20.05.12'!$C$7:$C$83,$E11,'прогноз на 20.05.12'!E$7:E$83)+SUMIF('прогноз на 20.05.12'!$C$7:$C$83,$G11,'прогноз на 20.05.12'!E$7:E$83)+SUMIF('прогноз на 20.05.12'!$C$7:$C$83,$I11,'прогноз на 20.05.12'!E$7:E$83)+SUMIF('прогноз на 20.05.12'!$C$7:$C$83,$K11,'прогноз на 20.05.12'!E$7:E$83)</f>
        <v>36</v>
      </c>
      <c r="N11" s="41">
        <f>SUMIF('прогноз на 20.05.12'!$C$7:$C$83,$C11,'прогноз на 20.05.12'!F$7:F$83)+SUMIF('прогноз на 20.05.12'!$C$7:$C$83,$E11,'прогноз на 20.05.12'!F$7:F$83)+SUMIF('прогноз на 20.05.12'!$C$7:$C$83,$G11,'прогноз на 20.05.12'!F$7:F$83)+SUMIF('прогноз на 20.05.12'!$C$7:$C$83,$I11,'прогноз на 20.05.12'!F$7:F$83)+SUMIF('прогноз на 20.05.12'!$C$7:$C$83,$K11,'прогноз на 20.05.12'!F$7:F$83)</f>
        <v>21</v>
      </c>
      <c r="O11" s="44">
        <f t="shared" si="6"/>
        <v>78</v>
      </c>
      <c r="P11" s="41">
        <f>SUMIF('прогноз на 20.05.12'!$C$7:$C$83,$C11,'прогноз на 20.05.12'!H$7:H$83)+SUMIF('прогноз на 20.05.12'!$C$7:$C$83,$E11,'прогноз на 20.05.12'!H$7:H$83)+SUMIF('прогноз на 20.05.12'!$C$7:$C$83,$G11,'прогноз на 20.05.12'!H$7:H$83)+SUMIF('прогноз на 20.05.12'!$C$7:$C$83,$I11,'прогноз на 20.05.12'!H$7:H$83)+SUMIF('прогноз на 20.05.12'!$C$7:$C$83,$K11,'прогноз на 20.05.12'!H$7:H$83)</f>
        <v>2</v>
      </c>
      <c r="Q11" s="41">
        <f>SUMIF('прогноз на 20.05.12'!$C$7:$C$83,$C11,'прогноз на 20.05.12'!I$7:I$83)+SUMIF('прогноз на 20.05.12'!$C$7:$C$83,$E11,'прогноз на 20.05.12'!I$7:I$83)+SUMIF('прогноз на 20.05.12'!$C$7:$C$83,$G11,'прогноз на 20.05.12'!I$7:I$83)+SUMIF('прогноз на 20.05.12'!$C$7:$C$83,$I11,'прогноз на 20.05.12'!I$7:I$83)+SUMIF('прогноз на 20.05.12'!$C$7:$C$83,$K11,'прогноз на 20.05.12'!I$7:I$83)</f>
        <v>5</v>
      </c>
      <c r="R11" s="41">
        <f>SUMIF('прогноз на 20.05.12'!$C$7:$C$83,$C11,'прогноз на 20.05.12'!J$7:J$83)+SUMIF('прогноз на 20.05.12'!$C$7:$C$83,$E11,'прогноз на 20.05.12'!J$7:J$83)+SUMIF('прогноз на 20.05.12'!$C$7:$C$83,$G11,'прогноз на 20.05.12'!J$7:J$83)+SUMIF('прогноз на 20.05.12'!$C$7:$C$83,$I11,'прогноз на 20.05.12'!J$7:J$83)+SUMIF('прогноз на 20.05.12'!$C$7:$C$83,$K11,'прогноз на 20.05.12'!J$7:J$83)</f>
        <v>2</v>
      </c>
      <c r="S11" s="45">
        <f t="shared" si="7"/>
        <v>9</v>
      </c>
      <c r="T11" s="41">
        <f>SUMIF('прогноз на 20.05.12'!$C$7:$C$83,$C11,'прогноз на 20.05.12'!L$7:L$83)+SUMIF('прогноз на 20.05.12'!$C$7:$C$83,$E11,'прогноз на 20.05.12'!L$7:L$83)+SUMIF('прогноз на 20.05.12'!$C$7:$C$83,$G11,'прогноз на 20.05.12'!L$7:L$83)+SUMIF('прогноз на 20.05.12'!$C$7:$C$83,$I11,'прогноз на 20.05.12'!L$7:L$83)+SUMIF('прогноз на 20.05.12'!$C$7:$C$83,$K11,'прогноз на 20.05.12'!L$7:L$83)</f>
        <v>0</v>
      </c>
      <c r="U11" s="41">
        <f>SUMIF('прогноз на 20.05.12'!$C$7:$C$83,$C11,'прогноз на 20.05.12'!M$7:M$83)+SUMIF('прогноз на 20.05.12'!$C$7:$C$83,$E11,'прогноз на 20.05.12'!M$7:M$83)+SUMIF('прогноз на 20.05.12'!$C$7:$C$83,$G11,'прогноз на 20.05.12'!M$7:M$83)+SUMIF('прогноз на 20.05.12'!$C$7:$C$83,$I11,'прогноз на 20.05.12'!M$7:M$83)+SUMIF('прогноз на 20.05.12'!$C$7:$C$83,$K11,'прогноз на 20.05.12'!M$7:M$83)</f>
        <v>0</v>
      </c>
      <c r="V11" s="41">
        <f>SUMIF('прогноз на 20.05.12'!$C$7:$C$83,$C11,'прогноз на 20.05.12'!N$7:N$83)+SUMIF('прогноз на 20.05.12'!$C$7:$C$83,$E11,'прогноз на 20.05.12'!N$7:N$83)+SUMIF('прогноз на 20.05.12'!$C$7:$C$83,$G11,'прогноз на 20.05.12'!N$7:N$83)+SUMIF('прогноз на 20.05.12'!$C$7:$C$83,$I11,'прогноз на 20.05.12'!N$7:N$83)+SUMIF('прогноз на 20.05.12'!$C$7:$C$83,$K11,'прогноз на 20.05.12'!N$7:N$83)</f>
        <v>0</v>
      </c>
      <c r="W11" s="45">
        <f t="shared" si="8"/>
        <v>0</v>
      </c>
      <c r="X11" s="41">
        <f>SUMIF('прогноз на 20.05.12'!$C$7:$C$83,$C11,'прогноз на 20.05.12'!P$7:P$83)+SUMIF('прогноз на 20.05.12'!$C$7:$C$83,$E11,'прогноз на 20.05.12'!P$7:P$83)+SUMIF('прогноз на 20.05.12'!$C$7:$C$83,$G11,'прогноз на 20.05.12'!P$7:P$83)+SUMIF('прогноз на 20.05.12'!$C$7:$C$83,$I11,'прогноз на 20.05.12'!P$7:P$83)+SUMIF('прогноз на 20.05.12'!$C$7:$C$83,$K11,'прогноз на 20.05.12'!P$7:P$83)</f>
        <v>1</v>
      </c>
      <c r="Y11" s="41">
        <f>SUMIF('прогноз на 20.05.12'!$C$7:$C$83,$C11,'прогноз на 20.05.12'!Q$7:Q$83)+SUMIF('прогноз на 20.05.12'!$C$7:$C$83,$E11,'прогноз на 20.05.12'!Q$7:Q$83)+SUMIF('прогноз на 20.05.12'!$C$7:$C$83,$G11,'прогноз на 20.05.12'!Q$7:Q$83)+SUMIF('прогноз на 20.05.12'!$C$7:$C$83,$I11,'прогноз на 20.05.12'!Q$7:Q$83)+SUMIF('прогноз на 20.05.12'!$C$7:$C$83,$K11,'прогноз на 20.05.12'!Q$7:Q$83)</f>
        <v>21</v>
      </c>
      <c r="Z11" s="41">
        <f>SUMIF('прогноз на 20.05.12'!$C$7:$C$83,$C11,'прогноз на 20.05.12'!R$7:R$83)+SUMIF('прогноз на 20.05.12'!$C$7:$C$83,$E11,'прогноз на 20.05.12'!R$7:R$83)+SUMIF('прогноз на 20.05.12'!$C$7:$C$83,$G11,'прогноз на 20.05.12'!R$7:R$83)+SUMIF('прогноз на 20.05.12'!$C$7:$C$83,$I11,'прогноз на 20.05.12'!R$7:R$83)+SUMIF('прогноз на 20.05.12'!$C$7:$C$83,$K11,'прогноз на 20.05.12'!R$7:R$83)</f>
        <v>0</v>
      </c>
      <c r="AA11" s="41">
        <f>SUMIF('прогноз на 20.05.12'!$C$7:$C$83,$C11,'прогноз на 20.05.12'!S$7:S$83)+SUMIF('прогноз на 20.05.12'!$C$7:$C$83,$E11,'прогноз на 20.05.12'!S$7:S$83)+SUMIF('прогноз на 20.05.12'!$C$7:$C$83,$G11,'прогноз на 20.05.12'!S$7:S$83)+SUMIF('прогноз на 20.05.12'!$C$7:$C$83,$I11,'прогноз на 20.05.12'!S$7:S$83)+SUMIF('прогноз на 20.05.12'!$C$7:$C$83,$K11,'прогноз на 20.05.12'!S$7:S$83)</f>
        <v>28</v>
      </c>
      <c r="AB11" s="41">
        <f>SUMIF('прогноз на 20.05.12'!$C$7:$C$83,$C11,'прогноз на 20.05.12'!T$7:T$83)+SUMIF('прогноз на 20.05.12'!$C$7:$C$83,$E11,'прогноз на 20.05.12'!T$7:T$83)+SUMIF('прогноз на 20.05.12'!$C$7:$C$83,$G11,'прогноз на 20.05.12'!T$7:T$83)+SUMIF('прогноз на 20.05.12'!$C$7:$C$83,$I11,'прогноз на 20.05.12'!T$7:T$83)+SUMIF('прогноз на 20.05.12'!$C$7:$C$83,$K11,'прогноз на 20.05.12'!T$7:T$83)</f>
        <v>70</v>
      </c>
      <c r="AC11" s="41">
        <f>SUMIF('прогноз на 20.05.12'!$C$7:$C$83,$C11,'прогноз на 20.05.12'!U$7:U$83)+SUMIF('прогноз на 20.05.12'!$C$7:$C$83,$E11,'прогноз на 20.05.12'!U$7:U$83)+SUMIF('прогноз на 20.05.12'!$C$7:$C$83,$G11,'прогноз на 20.05.12'!U$7:U$83)+SUMIF('прогноз на 20.05.12'!$C$7:$C$83,$I11,'прогноз на 20.05.12'!U$7:U$83)+SUMIF('прогноз на 20.05.12'!$C$7:$C$83,$K11,'прогноз на 20.05.12'!U$7:U$83)</f>
        <v>28</v>
      </c>
      <c r="AD11" s="41">
        <f>SUMIF('прогноз на 20.05.12'!$C$7:$C$83,$C11,'прогноз на 20.05.12'!V$7:V$83)+SUMIF('прогноз на 20.05.12'!$C$7:$C$83,$E11,'прогноз на 20.05.12'!V$7:V$83)+SUMIF('прогноз на 20.05.12'!$C$7:$C$83,$G11,'прогноз на 20.05.12'!V$7:V$83)+SUMIF('прогноз на 20.05.12'!$C$7:$C$83,$I11,'прогноз на 20.05.12'!V$7:V$83)+SUMIF('прогноз на 20.05.12'!$C$7:$C$83,$K11,'прогноз на 20.05.12'!V$7:V$83)</f>
        <v>126</v>
      </c>
      <c r="AE11" s="41">
        <f>SUMIF('прогноз на 20.05.12'!$C$7:$C$83,$C11,'прогноз на 20.05.12'!W$7:W$83)+SUMIF('прогноз на 20.05.12'!$C$7:$C$83,$E11,'прогноз на 20.05.12'!W$7:W$83)+SUMIF('прогноз на 20.05.12'!$C$7:$C$83,$G11,'прогноз на 20.05.12'!W$7:W$83)+SUMIF('прогноз на 20.05.12'!$C$7:$C$83,$I11,'прогноз на 20.05.12'!W$7:W$83)+SUMIF('прогноз на 20.05.12'!$C$7:$C$83,$K11,'прогноз на 20.05.12'!W$7:W$83)</f>
        <v>7</v>
      </c>
      <c r="AF11" s="41">
        <f>SUMIF('прогноз на 20.05.12'!$C$7:$C$83,$C11,'прогноз на 20.05.12'!X$7:X$83)+SUMIF('прогноз на 20.05.12'!$C$7:$C$83,$E11,'прогноз на 20.05.12'!X$7:X$83)+SUMIF('прогноз на 20.05.12'!$C$7:$C$83,$G11,'прогноз на 20.05.12'!X$7:X$83)+SUMIF('прогноз на 20.05.12'!$C$7:$C$83,$I11,'прогноз на 20.05.12'!X$7:X$83)+SUMIF('прогноз на 20.05.12'!$C$7:$C$83,$K11,'прогноз на 20.05.12'!X$7:X$83)</f>
        <v>34</v>
      </c>
      <c r="AG11" s="41">
        <f>SUMIF('прогноз на 20.05.12'!$C$7:$C$83,$C11,'прогноз на 20.05.12'!Y$7:Y$83)+SUMIF('прогноз на 20.05.12'!$C$7:$C$83,$E11,'прогноз на 20.05.12'!Y$7:Y$83)+SUMIF('прогноз на 20.05.12'!$C$7:$C$83,$G11,'прогноз на 20.05.12'!Y$7:Y$83)+SUMIF('прогноз на 20.05.12'!$C$7:$C$83,$I11,'прогноз на 20.05.12'!Y$7:Y$83)+SUMIF('прогноз на 20.05.12'!$C$7:$C$83,$K11,'прогноз на 20.05.12'!Y$7:Y$83)</f>
        <v>7</v>
      </c>
      <c r="AH11" s="41">
        <f>SUMIF('прогноз на 20.05.12'!$C$7:$C$83,$C11,'прогноз на 20.05.12'!Z$7:Z$83)+SUMIF('прогноз на 20.05.12'!$C$7:$C$83,$E11,'прогноз на 20.05.12'!Z$7:Z$83)+SUMIF('прогноз на 20.05.12'!$C$7:$C$83,$G11,'прогноз на 20.05.12'!Z$7:Z$83)+SUMIF('прогноз на 20.05.12'!$C$7:$C$83,$I11,'прогноз на 20.05.12'!Z$7:Z$83)+SUMIF('прогноз на 20.05.12'!$C$7:$C$83,$K11,'прогноз на 20.05.12'!Z$7:Z$83)</f>
        <v>48</v>
      </c>
      <c r="AI11" s="41">
        <f>SUMIF('прогноз на 20.05.12'!$C$7:$C$83,$C11,'прогноз на 20.05.12'!AA$7:AA$83)+SUMIF('прогноз на 20.05.12'!$C$7:$C$83,$E11,'прогноз на 20.05.12'!AA$7:AA$83)+SUMIF('прогноз на 20.05.12'!$C$7:$C$83,$G11,'прогноз на 20.05.12'!AA$7:AA$83)+SUMIF('прогноз на 20.05.12'!$C$7:$C$83,$I11,'прогноз на 20.05.12'!AA$7:AA$83)+SUMIF('прогноз на 20.05.12'!$C$7:$C$83,$K11,'прогноз на 20.05.12'!AA$7:AA$83)</f>
        <v>5.25</v>
      </c>
      <c r="AJ11" s="41">
        <f>SUMIF('прогноз на 20.05.12'!$C$7:$C$83,$C11,'прогноз на 20.05.12'!AB$7:AB$83)+SUMIF('прогноз на 20.05.12'!$C$7:$C$83,$E11,'прогноз на 20.05.12'!AB$7:AB$83)+SUMIF('прогноз на 20.05.12'!$C$7:$C$83,$G11,'прогноз на 20.05.12'!AB$7:AB$83)+SUMIF('прогноз на 20.05.12'!$C$7:$C$83,$I11,'прогноз на 20.05.12'!AB$7:AB$83)+SUMIF('прогноз на 20.05.12'!$C$7:$C$83,$K11,'прогноз на 20.05.12'!AB$7:AB$83)</f>
        <v>25.5</v>
      </c>
      <c r="AK11" s="41">
        <f>SUMIF('прогноз на 20.05.12'!$C$7:$C$83,$C11,'прогноз на 20.05.12'!AC$7:AC$83)+SUMIF('прогноз на 20.05.12'!$C$7:$C$83,$E11,'прогноз на 20.05.12'!AC$7:AC$83)+SUMIF('прогноз на 20.05.12'!$C$7:$C$83,$G11,'прогноз на 20.05.12'!AC$7:AC$83)+SUMIF('прогноз на 20.05.12'!$C$7:$C$83,$I11,'прогноз на 20.05.12'!AC$7:AC$83)+SUMIF('прогноз на 20.05.12'!$C$7:$C$83,$K11,'прогноз на 20.05.12'!AC$7:AC$83)</f>
        <v>5.25</v>
      </c>
      <c r="AL11" s="41">
        <f>SUMIF('прогноз на 20.05.12'!$C$7:$C$83,$C11,'прогноз на 20.05.12'!AD$7:AD$83)+SUMIF('прогноз на 20.05.12'!$C$7:$C$83,$E11,'прогноз на 20.05.12'!AD$7:AD$83)+SUMIF('прогноз на 20.05.12'!$C$7:$C$83,$G11,'прогноз на 20.05.12'!AD$7:AD$83)+SUMIF('прогноз на 20.05.12'!$C$7:$C$83,$I11,'прогноз на 20.05.12'!AD$7:AD$83)+SUMIF('прогноз на 20.05.12'!$C$7:$C$83,$K11,'прогноз на 20.05.12'!AD$7:AD$83)</f>
        <v>36</v>
      </c>
      <c r="AM11" s="41">
        <f>SUMIF('прогноз на 20.05.12'!$C$7:$C$83,$C11,'прогноз на 20.05.12'!AE$7:AE$83)+SUMIF('прогноз на 20.05.12'!$C$7:$C$83,$E11,'прогноз на 20.05.12'!AE$7:AE$83)+SUMIF('прогноз на 20.05.12'!$C$7:$C$83,$G11,'прогноз на 20.05.12'!AE$7:AE$83)+SUMIF('прогноз на 20.05.12'!$C$7:$C$83,$I11,'прогноз на 20.05.12'!AE$7:AE$83)+SUMIF('прогноз на 20.05.12'!$C$7:$C$83,$K11,'прогноз на 20.05.12'!AE$7:AE$83)</f>
        <v>26.25</v>
      </c>
      <c r="AN11" s="41">
        <f>SUMIF('прогноз на 20.05.12'!$C$7:$C$83,$C11,'прогноз на 20.05.12'!AF$7:AF$83)+SUMIF('прогноз на 20.05.12'!$C$7:$C$83,$E11,'прогноз на 20.05.12'!AF$7:AF$83)+SUMIF('прогноз на 20.05.12'!$C$7:$C$83,$G11,'прогноз на 20.05.12'!AF$7:AF$83)+SUMIF('прогноз на 20.05.12'!$C$7:$C$83,$I11,'прогноз на 20.05.12'!AF$7:AF$83)+SUMIF('прогноз на 20.05.12'!$C$7:$C$83,$K11,'прогноз на 20.05.12'!AF$7:AF$83)</f>
        <v>61.5</v>
      </c>
      <c r="AO11" s="41">
        <f>SUMIF('прогноз на 20.05.12'!$C$7:$C$83,$C11,'прогноз на 20.05.12'!AG$7:AG$83)+SUMIF('прогноз на 20.05.12'!$C$7:$C$83,$E11,'прогноз на 20.05.12'!AG$7:AG$83)+SUMIF('прогноз на 20.05.12'!$C$7:$C$83,$G11,'прогноз на 20.05.12'!AG$7:AG$83)+SUMIF('прогноз на 20.05.12'!$C$7:$C$83,$I11,'прогноз на 20.05.12'!AG$7:AG$83)+SUMIF('прогноз на 20.05.12'!$C$7:$C$83,$K11,'прогноз на 20.05.12'!AG$7:AG$83)</f>
        <v>26.25</v>
      </c>
      <c r="AP11" s="41">
        <f>SUMIF('прогноз на 20.05.12'!$C$7:$C$83,$C11,'прогноз на 20.05.12'!AH$7:AH$83)+SUMIF('прогноз на 20.05.12'!$C$7:$C$83,$E11,'прогноз на 20.05.12'!AH$7:AH$83)+SUMIF('прогноз на 20.05.12'!$C$7:$C$83,$G11,'прогноз на 20.05.12'!AH$7:AH$83)+SUMIF('прогноз на 20.05.12'!$C$7:$C$83,$I11,'прогноз на 20.05.12'!AH$7:AH$83)+SUMIF('прогноз на 20.05.12'!$C$7:$C$83,$K11,'прогноз на 20.05.12'!AH$7:AH$83)</f>
        <v>114</v>
      </c>
      <c r="AQ11" s="41">
        <f>SUMIF('прогноз на 20.05.12'!$C$7:$C$83,$C11,'прогноз на 20.05.12'!AM$7:AM$83)+SUMIF('прогноз на 20.05.12'!$C$7:$C$83,$E11,'прогноз на 20.05.12'!AM$7:AM$83)+SUMIF('прогноз на 20.05.12'!$C$7:$C$83,$G11,'прогноз на 20.05.12'!AM$7:AM$83)+SUMIF('прогноз на 20.05.12'!$C$7:$C$83,$I11,'прогноз на 20.05.12'!AM$7:AM$83)+SUMIF('прогноз на 20.05.12'!$C$7:$C$83,$K11,'прогноз на 20.05.12'!AM$7:AM$83)</f>
        <v>104774.25</v>
      </c>
      <c r="AR11" s="41">
        <f>SUMIF('прогноз на 20.05.12'!$C$7:$C$83,$C11,'прогноз на 20.05.12'!AN$7:AN$83)+SUMIF('прогноз на 20.05.12'!$C$7:$C$83,$E11,'прогноз на 20.05.12'!AN$7:AN$83)+SUMIF('прогноз на 20.05.12'!$C$7:$C$83,$G11,'прогноз на 20.05.12'!AN$7:AN$83)+SUMIF('прогноз на 20.05.12'!$C$7:$C$83,$I11,'прогноз на 20.05.12'!AN$7:AN$83)+SUMIF('прогноз на 20.05.12'!$C$7:$C$83,$K11,'прогноз на 20.05.12'!AN$7:AN$83)</f>
        <v>866464.5</v>
      </c>
      <c r="AS11" s="41">
        <f>SUMIF('прогноз на 20.05.12'!$C$7:$C$83,$C11,'прогноз на 20.05.12'!AO$7:AO$83)+SUMIF('прогноз на 20.05.12'!$C$7:$C$83,$E11,'прогноз на 20.05.12'!AO$7:AO$83)+SUMIF('прогноз на 20.05.12'!$C$7:$C$83,$G11,'прогноз на 20.05.12'!AO$7:AO$83)+SUMIF('прогноз на 20.05.12'!$C$7:$C$83,$I11,'прогноз на 20.05.12'!AO$7:AO$83)+SUMIF('прогноз на 20.05.12'!$C$7:$C$83,$K11,'прогноз на 20.05.12'!AO$7:AO$83)</f>
        <v>190506.75</v>
      </c>
      <c r="AT11" s="41">
        <f>SUMIF('прогноз на 20.05.12'!$C$7:$C$83,$C11,'прогноз на 20.05.12'!AP$7:AP$83)+SUMIF('прогноз на 20.05.12'!$C$7:$C$83,$E11,'прогноз на 20.05.12'!AP$7:AP$83)+SUMIF('прогноз на 20.05.12'!$C$7:$C$83,$G11,'прогноз на 20.05.12'!AP$7:AP$83)+SUMIF('прогноз на 20.05.12'!$C$7:$C$83,$I11,'прогноз на 20.05.12'!AP$7:AP$83)+SUMIF('прогноз на 20.05.12'!$C$7:$C$83,$K11,'прогноз на 20.05.12'!AP$7:AP$83)</f>
        <v>1161745.5</v>
      </c>
      <c r="AU11" s="41">
        <f>SUMIF('прогноз на 20.05.12'!$C$7:$C$83,$C11,'прогноз на 20.05.12'!AU$7:AU$83)+SUMIF('прогноз на 20.05.12'!$C$7:$C$83,$E11,'прогноз на 20.05.12'!AU$7:AU$83)+SUMIF('прогноз на 20.05.12'!$C$7:$C$83,$G11,'прогноз на 20.05.12'!AU$7:AU$83)+SUMIF('прогноз на 20.05.12'!$C$7:$C$83,$I11,'прогноз на 20.05.12'!AU$7:AU$83)+SUMIF('прогноз на 20.05.12'!$C$7:$C$83,$K11,'прогноз на 20.05.12'!AU$7:AU$83)</f>
        <v>6641.25</v>
      </c>
      <c r="AV11" s="41">
        <f>SUMIF('прогноз на 20.05.12'!$C$7:$C$83,$C11,'прогноз на 20.05.12'!AV$7:AV$83)+SUMIF('прогноз на 20.05.12'!$C$7:$C$83,$E11,'прогноз на 20.05.12'!AV$7:AV$83)+SUMIF('прогноз на 20.05.12'!$C$7:$C$83,$G11,'прогноз на 20.05.12'!AV$7:AV$83)+SUMIF('прогноз на 20.05.12'!$C$7:$C$83,$I11,'прогноз на 20.05.12'!AV$7:AV$83)+SUMIF('прогноз на 20.05.12'!$C$7:$C$83,$K11,'прогноз на 20.05.12'!AV$7:AV$83)</f>
        <v>36745.5</v>
      </c>
      <c r="AW11" s="41">
        <f>SUMIF('прогноз на 20.05.12'!$C$7:$C$83,$C11,'прогноз на 20.05.12'!AW$7:AW$83)+SUMIF('прогноз на 20.05.12'!$C$7:$C$83,$E11,'прогноз на 20.05.12'!AW$7:AW$83)+SUMIF('прогноз на 20.05.12'!$C$7:$C$83,$G11,'прогноз на 20.05.12'!AW$7:AW$83)+SUMIF('прогноз на 20.05.12'!$C$7:$C$83,$I11,'прогноз на 20.05.12'!AW$7:AW$83)+SUMIF('прогноз на 20.05.12'!$C$7:$C$83,$K11,'прогноз на 20.05.12'!AW$7:AW$83)</f>
        <v>9591.75</v>
      </c>
      <c r="AX11" s="41">
        <f>SUMIF('прогноз на 20.05.12'!$C$7:$C$83,$C11,'прогноз на 20.05.12'!AX$7:AX$83)+SUMIF('прогноз на 20.05.12'!$C$7:$C$83,$E11,'прогноз на 20.05.12'!AX$7:AX$83)+SUMIF('прогноз на 20.05.12'!$C$7:$C$83,$G11,'прогноз на 20.05.12'!AX$7:AX$83)+SUMIF('прогноз на 20.05.12'!$C$7:$C$83,$I11,'прогноз на 20.05.12'!AX$7:AX$83)+SUMIF('прогноз на 20.05.12'!$C$7:$C$83,$K11,'прогноз на 20.05.12'!AX$7:AX$83)</f>
        <v>52978.5</v>
      </c>
      <c r="AY11" s="41">
        <f>SUMIF('прогноз на 20.05.12'!$C$7:$C$83,$C11,'прогноз на 20.05.12'!AY$7:AY$83)+SUMIF('прогноз на 20.05.12'!$C$7:$C$83,$E11,'прогноз на 20.05.12'!AY$7:AY$83)+SUMIF('прогноз на 20.05.12'!$C$7:$C$83,$G11,'прогноз на 20.05.12'!AY$7:AY$83)+SUMIF('прогноз на 20.05.12'!$C$7:$C$83,$I11,'прогноз на 20.05.12'!AY$7:AY$83)+SUMIF('прогноз на 20.05.12'!$C$7:$C$83,$K11,'прогноз на 20.05.12'!AY$7:AY$83)</f>
        <v>111415.5</v>
      </c>
      <c r="AZ11" s="41">
        <f>SUMIF('прогноз на 20.05.12'!$C$7:$C$83,$C11,'прогноз на 20.05.12'!AZ$7:AZ$83)+SUMIF('прогноз на 20.05.12'!$C$7:$C$83,$E11,'прогноз на 20.05.12'!AZ$7:AZ$83)+SUMIF('прогноз на 20.05.12'!$C$7:$C$83,$G11,'прогноз на 20.05.12'!AZ$7:AZ$83)+SUMIF('прогноз на 20.05.12'!$C$7:$C$83,$I11,'прогноз на 20.05.12'!AZ$7:AZ$83)+SUMIF('прогноз на 20.05.12'!$C$7:$C$83,$K11,'прогноз на 20.05.12'!AZ$7:AZ$83)</f>
        <v>903210</v>
      </c>
      <c r="BA11" s="41">
        <f>SUMIF('прогноз на 20.05.12'!$C$7:$C$83,$C11,'прогноз на 20.05.12'!BA$7:BA$83)+SUMIF('прогноз на 20.05.12'!$C$7:$C$83,$E11,'прогноз на 20.05.12'!BA$7:BA$83)+SUMIF('прогноз на 20.05.12'!$C$7:$C$83,$G11,'прогноз на 20.05.12'!BA$7:BA$83)+SUMIF('прогноз на 20.05.12'!$C$7:$C$83,$I11,'прогноз на 20.05.12'!BA$7:BA$83)+SUMIF('прогноз на 20.05.12'!$C$7:$C$83,$K11,'прогноз на 20.05.12'!BA$7:BA$83)</f>
        <v>200098.5</v>
      </c>
      <c r="BB11" s="41">
        <f>SUMIF('прогноз на 20.05.12'!$C$7:$C$83,$C11,'прогноз на 20.05.12'!BB$7:BB$83)+SUMIF('прогноз на 20.05.12'!$C$7:$C$83,$E11,'прогноз на 20.05.12'!BB$7:BB$83)+SUMIF('прогноз на 20.05.12'!$C$7:$C$83,$G11,'прогноз на 20.05.12'!BB$7:BB$83)+SUMIF('прогноз на 20.05.12'!$C$7:$C$83,$I11,'прогноз на 20.05.12'!BB$7:BB$83)+SUMIF('прогноз на 20.05.12'!$C$7:$C$83,$K11,'прогноз на 20.05.12'!BB$7:BB$83)</f>
        <v>1214724</v>
      </c>
      <c r="BC11" s="41">
        <f>SUMIF('прогноз на 20.05.12'!$C$7:$C$83,$C11,'прогноз на 20.05.12'!BC$7:BC$83)+SUMIF('прогноз на 20.05.12'!$C$7:$C$83,$E11,'прогноз на 20.05.12'!BC$7:BC$83)+SUMIF('прогноз на 20.05.12'!$C$7:$C$83,$G11,'прогноз на 20.05.12'!BC$7:BC$83)+SUMIF('прогноз на 20.05.12'!$C$7:$C$83,$I11,'прогноз на 20.05.12'!BC$7:BC$83)+SUMIF('прогноз на 20.05.12'!$C$7:$C$83,$K11,'прогноз на 20.05.12'!BC$7:BC$83)</f>
        <v>1553966</v>
      </c>
      <c r="BD11" s="41">
        <f>SUMIF('прогноз на 20.05.12'!$C$7:$C$83,$C11,'прогноз на 20.05.12'!BD$7:BD$83)+SUMIF('прогноз на 20.05.12'!$C$7:$C$83,$E11,'прогноз на 20.05.12'!BD$7:BD$83)+SUMIF('прогноз на 20.05.12'!$C$7:$C$83,$G11,'прогноз на 20.05.12'!BD$7:BD$83)+SUMIF('прогноз на 20.05.12'!$C$7:$C$83,$I11,'прогноз на 20.05.12'!BD$7:BD$83)+SUMIF('прогноз на 20.05.12'!$C$7:$C$83,$K11,'прогноз на 20.05.12'!BD$7:BD$83)</f>
        <v>1553966</v>
      </c>
      <c r="BE11" s="41">
        <f>SUMIF('прогноз на 20.05.12'!$C$7:$C$83,$C11,'прогноз на 20.05.12'!BE$7:BE$83)+SUMIF('прогноз на 20.05.12'!$C$7:$C$83,$E11,'прогноз на 20.05.12'!BE$7:BE$83)+SUMIF('прогноз на 20.05.12'!$C$7:$C$83,$G11,'прогноз на 20.05.12'!BE$7:BE$83)+SUMIF('прогноз на 20.05.12'!$C$7:$C$83,$I11,'прогноз на 20.05.12'!BE$7:BE$83)+SUMIF('прогноз на 20.05.12'!$C$7:$C$83,$K11,'прогноз на 20.05.12'!BE$7:BE$83)</f>
        <v>0</v>
      </c>
      <c r="BF11" s="41">
        <f>SUMIF('прогноз на 20.05.12'!$C$7:$C$83,$C11,'прогноз на 20.05.12'!BF$7:BF$83)+SUMIF('прогноз на 20.05.12'!$C$7:$C$83,$E11,'прогноз на 20.05.12'!BF$7:BF$83)+SUMIF('прогноз на 20.05.12'!$C$7:$C$83,$G11,'прогноз на 20.05.12'!BF$7:BF$83)+SUMIF('прогноз на 20.05.12'!$C$7:$C$83,$I11,'прогноз на 20.05.12'!BF$7:BF$83)+SUMIF('прогноз на 20.05.12'!$C$7:$C$83,$K11,'прогноз на 20.05.12'!BF$7:BF$83)</f>
        <v>339242</v>
      </c>
      <c r="BG11" s="41">
        <f>SUMIF('прогноз на 20.05.12'!$C$7:$C$83,$C11,'прогноз на 20.05.12'!BG$7:BG$83)+SUMIF('прогноз на 20.05.12'!$C$7:$C$83,$E11,'прогноз на 20.05.12'!BG$7:BG$83)+SUMIF('прогноз на 20.05.12'!$C$7:$C$83,$G11,'прогноз на 20.05.12'!BG$7:BG$83)+SUMIF('прогноз на 20.05.12'!$C$7:$C$83,$I11,'прогноз на 20.05.12'!BG$7:BG$83)+SUMIF('прогноз на 20.05.12'!$C$7:$C$83,$K11,'прогноз на 20.05.12'!BG$7:BG$83)</f>
        <v>339242</v>
      </c>
      <c r="BH11" s="41">
        <f>SUMIF('прогноз на 20.05.12'!$C$7:$C$83,$C11,'прогноз на 20.05.12'!BH$7:BH$83)+SUMIF('прогноз на 20.05.12'!$C$7:$C$83,$E11,'прогноз на 20.05.12'!BH$7:BH$83)+SUMIF('прогноз на 20.05.12'!$C$7:$C$83,$G11,'прогноз на 20.05.12'!BH$7:BH$83)+SUMIF('прогноз на 20.05.12'!$C$7:$C$83,$I11,'прогноз на 20.05.12'!BH$7:BH$83)+SUMIF('прогноз на 20.05.12'!$C$7:$C$83,$K11,'прогноз на 20.05.12'!BH$7:BH$83)</f>
        <v>0</v>
      </c>
      <c r="BI11" s="90">
        <f t="shared" si="10"/>
        <v>10.5</v>
      </c>
      <c r="BJ11" s="90">
        <f t="shared" si="11"/>
        <v>7.2</v>
      </c>
      <c r="BK11" s="90">
        <f t="shared" si="12"/>
        <v>10.5</v>
      </c>
      <c r="BL11" s="90">
        <f t="shared" si="13"/>
        <v>8.6666666666666661</v>
      </c>
    </row>
    <row r="12" spans="1:64" s="57" customFormat="1" ht="18.75">
      <c r="A12" s="38">
        <v>6</v>
      </c>
      <c r="B12" s="39" t="s">
        <v>77</v>
      </c>
      <c r="C12" s="40" t="s">
        <v>196</v>
      </c>
      <c r="D12" s="58"/>
      <c r="E12" s="58"/>
      <c r="F12" s="58"/>
      <c r="G12" s="58"/>
      <c r="H12" s="58"/>
      <c r="I12" s="58"/>
      <c r="J12" s="58"/>
      <c r="K12" s="58"/>
      <c r="L12" s="41">
        <f>SUMIF('прогноз на 20.05.12'!$C$7:$C$83,$C12,'прогноз на 20.05.12'!D$7:D$83)+SUMIF('прогноз на 20.05.12'!$C$7:$C$83,$E12,'прогноз на 20.05.12'!D$7:D$83)+SUMIF('прогноз на 20.05.12'!$C$7:$C$83,$G12,'прогноз на 20.05.12'!D$7:D$83)+SUMIF('прогноз на 20.05.12'!$C$7:$C$83,$I12,'прогноз на 20.05.12'!D$7:D$83)+SUMIF('прогноз на 20.05.12'!$C$7:$C$83,$K12,'прогноз на 20.05.12'!D$7:D$83)</f>
        <v>0</v>
      </c>
      <c r="M12" s="41">
        <f>SUMIF('прогноз на 20.05.12'!$C$7:$C$83,$C12,'прогноз на 20.05.12'!E$7:E$83)+SUMIF('прогноз на 20.05.12'!$C$7:$C$83,$E12,'прогноз на 20.05.12'!E$7:E$83)+SUMIF('прогноз на 20.05.12'!$C$7:$C$83,$G12,'прогноз на 20.05.12'!E$7:E$83)+SUMIF('прогноз на 20.05.12'!$C$7:$C$83,$I12,'прогноз на 20.05.12'!E$7:E$83)+SUMIF('прогноз на 20.05.12'!$C$7:$C$83,$K12,'прогноз на 20.05.12'!E$7:E$83)</f>
        <v>0</v>
      </c>
      <c r="N12" s="41">
        <f>SUMIF('прогноз на 20.05.12'!$C$7:$C$83,$C12,'прогноз на 20.05.12'!F$7:F$83)+SUMIF('прогноз на 20.05.12'!$C$7:$C$83,$E12,'прогноз на 20.05.12'!F$7:F$83)+SUMIF('прогноз на 20.05.12'!$C$7:$C$83,$G12,'прогноз на 20.05.12'!F$7:F$83)+SUMIF('прогноз на 20.05.12'!$C$7:$C$83,$I12,'прогноз на 20.05.12'!F$7:F$83)+SUMIF('прогноз на 20.05.12'!$C$7:$C$83,$K12,'прогноз на 20.05.12'!F$7:F$83)</f>
        <v>203</v>
      </c>
      <c r="O12" s="44">
        <f t="shared" si="6"/>
        <v>203</v>
      </c>
      <c r="P12" s="41">
        <f>SUMIF('прогноз на 20.05.12'!$C$7:$C$83,$C12,'прогноз на 20.05.12'!H$7:H$83)+SUMIF('прогноз на 20.05.12'!$C$7:$C$83,$E12,'прогноз на 20.05.12'!H$7:H$83)+SUMIF('прогноз на 20.05.12'!$C$7:$C$83,$G12,'прогноз на 20.05.12'!H$7:H$83)+SUMIF('прогноз на 20.05.12'!$C$7:$C$83,$I12,'прогноз на 20.05.12'!H$7:H$83)+SUMIF('прогноз на 20.05.12'!$C$7:$C$83,$K12,'прогноз на 20.05.12'!H$7:H$83)</f>
        <v>0</v>
      </c>
      <c r="Q12" s="41">
        <f>SUMIF('прогноз на 20.05.12'!$C$7:$C$83,$C12,'прогноз на 20.05.12'!I$7:I$83)+SUMIF('прогноз на 20.05.12'!$C$7:$C$83,$E12,'прогноз на 20.05.12'!I$7:I$83)+SUMIF('прогноз на 20.05.12'!$C$7:$C$83,$G12,'прогноз на 20.05.12'!I$7:I$83)+SUMIF('прогноз на 20.05.12'!$C$7:$C$83,$I12,'прогноз на 20.05.12'!I$7:I$83)+SUMIF('прогноз на 20.05.12'!$C$7:$C$83,$K12,'прогноз на 20.05.12'!I$7:I$83)</f>
        <v>0</v>
      </c>
      <c r="R12" s="41">
        <f>SUMIF('прогноз на 20.05.12'!$C$7:$C$83,$C12,'прогноз на 20.05.12'!J$7:J$83)+SUMIF('прогноз на 20.05.12'!$C$7:$C$83,$E12,'прогноз на 20.05.12'!J$7:J$83)+SUMIF('прогноз на 20.05.12'!$C$7:$C$83,$G12,'прогноз на 20.05.12'!J$7:J$83)+SUMIF('прогноз на 20.05.12'!$C$7:$C$83,$I12,'прогноз на 20.05.12'!J$7:J$83)+SUMIF('прогноз на 20.05.12'!$C$7:$C$83,$K12,'прогноз на 20.05.12'!J$7:J$83)</f>
        <v>10</v>
      </c>
      <c r="S12" s="45">
        <f>P12+Q12+R12</f>
        <v>10</v>
      </c>
      <c r="T12" s="41">
        <f>SUMIF('прогноз на 20.05.12'!$C$7:$C$83,$C12,'прогноз на 20.05.12'!L$7:L$83)+SUMIF('прогноз на 20.05.12'!$C$7:$C$83,$E12,'прогноз на 20.05.12'!L$7:L$83)+SUMIF('прогноз на 20.05.12'!$C$7:$C$83,$G12,'прогноз на 20.05.12'!L$7:L$83)+SUMIF('прогноз на 20.05.12'!$C$7:$C$83,$I12,'прогноз на 20.05.12'!L$7:L$83)+SUMIF('прогноз на 20.05.12'!$C$7:$C$83,$K12,'прогноз на 20.05.12'!L$7:L$83)</f>
        <v>0</v>
      </c>
      <c r="U12" s="41">
        <f>SUMIF('прогноз на 20.05.12'!$C$7:$C$83,$C12,'прогноз на 20.05.12'!M$7:M$83)+SUMIF('прогноз на 20.05.12'!$C$7:$C$83,$E12,'прогноз на 20.05.12'!M$7:M$83)+SUMIF('прогноз на 20.05.12'!$C$7:$C$83,$G12,'прогноз на 20.05.12'!M$7:M$83)+SUMIF('прогноз на 20.05.12'!$C$7:$C$83,$I12,'прогноз на 20.05.12'!M$7:M$83)+SUMIF('прогноз на 20.05.12'!$C$7:$C$83,$K12,'прогноз на 20.05.12'!M$7:M$83)</f>
        <v>0</v>
      </c>
      <c r="V12" s="41">
        <f>SUMIF('прогноз на 20.05.12'!$C$7:$C$83,$C12,'прогноз на 20.05.12'!N$7:N$83)+SUMIF('прогноз на 20.05.12'!$C$7:$C$83,$E12,'прогноз на 20.05.12'!N$7:N$83)+SUMIF('прогноз на 20.05.12'!$C$7:$C$83,$G12,'прогноз на 20.05.12'!N$7:N$83)+SUMIF('прогноз на 20.05.12'!$C$7:$C$83,$I12,'прогноз на 20.05.12'!N$7:N$83)+SUMIF('прогноз на 20.05.12'!$C$7:$C$83,$K12,'прогноз на 20.05.12'!N$7:N$83)</f>
        <v>0</v>
      </c>
      <c r="W12" s="45">
        <f>T12+U12+V12</f>
        <v>0</v>
      </c>
      <c r="X12" s="41">
        <f>SUMIF('прогноз на 20.05.12'!$C$7:$C$83,$C12,'прогноз на 20.05.12'!P$7:P$83)+SUMIF('прогноз на 20.05.12'!$C$7:$C$83,$E12,'прогноз на 20.05.12'!P$7:P$83)+SUMIF('прогноз на 20.05.12'!$C$7:$C$83,$G12,'прогноз на 20.05.12'!P$7:P$83)+SUMIF('прогноз на 20.05.12'!$C$7:$C$83,$I12,'прогноз на 20.05.12'!P$7:P$83)+SUMIF('прогноз на 20.05.12'!$C$7:$C$83,$K12,'прогноз на 20.05.12'!P$7:P$83)</f>
        <v>0</v>
      </c>
      <c r="Y12" s="41">
        <f>SUMIF('прогноз на 20.05.12'!$C$7:$C$83,$C12,'прогноз на 20.05.12'!Q$7:Q$83)+SUMIF('прогноз на 20.05.12'!$C$7:$C$83,$E12,'прогноз на 20.05.12'!Q$7:Q$83)+SUMIF('прогноз на 20.05.12'!$C$7:$C$83,$G12,'прогноз на 20.05.12'!Q$7:Q$83)+SUMIF('прогноз на 20.05.12'!$C$7:$C$83,$I12,'прогноз на 20.05.12'!Q$7:Q$83)+SUMIF('прогноз на 20.05.12'!$C$7:$C$83,$K12,'прогноз на 20.05.12'!Q$7:Q$83)</f>
        <v>0</v>
      </c>
      <c r="Z12" s="41">
        <f>SUMIF('прогноз на 20.05.12'!$C$7:$C$83,$C12,'прогноз на 20.05.12'!R$7:R$83)+SUMIF('прогноз на 20.05.12'!$C$7:$C$83,$E12,'прогноз на 20.05.12'!R$7:R$83)+SUMIF('прогноз на 20.05.12'!$C$7:$C$83,$G12,'прогноз на 20.05.12'!R$7:R$83)+SUMIF('прогноз на 20.05.12'!$C$7:$C$83,$I12,'прогноз на 20.05.12'!R$7:R$83)+SUMIF('прогноз на 20.05.12'!$C$7:$C$83,$K12,'прогноз на 20.05.12'!R$7:R$83)</f>
        <v>0</v>
      </c>
      <c r="AA12" s="41">
        <f>SUMIF('прогноз на 20.05.12'!$C$7:$C$83,$C12,'прогноз на 20.05.12'!S$7:S$83)+SUMIF('прогноз на 20.05.12'!$C$7:$C$83,$E12,'прогноз на 20.05.12'!S$7:S$83)+SUMIF('прогноз на 20.05.12'!$C$7:$C$83,$G12,'прогноз на 20.05.12'!S$7:S$83)+SUMIF('прогноз на 20.05.12'!$C$7:$C$83,$I12,'прогноз на 20.05.12'!S$7:S$83)+SUMIF('прогноз на 20.05.12'!$C$7:$C$83,$K12,'прогноз на 20.05.12'!S$7:S$83)</f>
        <v>0</v>
      </c>
      <c r="AB12" s="41">
        <f>SUMIF('прогноз на 20.05.12'!$C$7:$C$83,$C12,'прогноз на 20.05.12'!T$7:T$83)+SUMIF('прогноз на 20.05.12'!$C$7:$C$83,$E12,'прогноз на 20.05.12'!T$7:T$83)+SUMIF('прогноз на 20.05.12'!$C$7:$C$83,$G12,'прогноз на 20.05.12'!T$7:T$83)+SUMIF('прогноз на 20.05.12'!$C$7:$C$83,$I12,'прогноз на 20.05.12'!T$7:T$83)+SUMIF('прогноз на 20.05.12'!$C$7:$C$83,$K12,'прогноз на 20.05.12'!T$7:T$83)</f>
        <v>0</v>
      </c>
      <c r="AC12" s="41">
        <f>SUMIF('прогноз на 20.05.12'!$C$7:$C$83,$C12,'прогноз на 20.05.12'!U$7:U$83)+SUMIF('прогноз на 20.05.12'!$C$7:$C$83,$E12,'прогноз на 20.05.12'!U$7:U$83)+SUMIF('прогноз на 20.05.12'!$C$7:$C$83,$G12,'прогноз на 20.05.12'!U$7:U$83)+SUMIF('прогноз на 20.05.12'!$C$7:$C$83,$I12,'прогноз на 20.05.12'!U$7:U$83)+SUMIF('прогноз на 20.05.12'!$C$7:$C$83,$K12,'прогноз на 20.05.12'!U$7:U$83)</f>
        <v>203</v>
      </c>
      <c r="AD12" s="41">
        <f>SUMIF('прогноз на 20.05.12'!$C$7:$C$83,$C12,'прогноз на 20.05.12'!V$7:V$83)+SUMIF('прогноз на 20.05.12'!$C$7:$C$83,$E12,'прогноз на 20.05.12'!V$7:V$83)+SUMIF('прогноз на 20.05.12'!$C$7:$C$83,$G12,'прогноз на 20.05.12'!V$7:V$83)+SUMIF('прогноз на 20.05.12'!$C$7:$C$83,$I12,'прогноз на 20.05.12'!V$7:V$83)+SUMIF('прогноз на 20.05.12'!$C$7:$C$83,$K12,'прогноз на 20.05.12'!V$7:V$83)</f>
        <v>203</v>
      </c>
      <c r="AE12" s="41">
        <f>SUMIF('прогноз на 20.05.12'!$C$7:$C$83,$C12,'прогноз на 20.05.12'!W$7:W$83)+SUMIF('прогноз на 20.05.12'!$C$7:$C$83,$E12,'прогноз на 20.05.12'!W$7:W$83)+SUMIF('прогноз на 20.05.12'!$C$7:$C$83,$G12,'прогноз на 20.05.12'!W$7:W$83)+SUMIF('прогноз на 20.05.12'!$C$7:$C$83,$I12,'прогноз на 20.05.12'!W$7:W$83)+SUMIF('прогноз на 20.05.12'!$C$7:$C$83,$K12,'прогноз на 20.05.12'!W$7:W$83)</f>
        <v>0</v>
      </c>
      <c r="AF12" s="41">
        <f>SUMIF('прогноз на 20.05.12'!$C$7:$C$83,$C12,'прогноз на 20.05.12'!X$7:X$83)+SUMIF('прогноз на 20.05.12'!$C$7:$C$83,$E12,'прогноз на 20.05.12'!X$7:X$83)+SUMIF('прогноз на 20.05.12'!$C$7:$C$83,$G12,'прогноз на 20.05.12'!X$7:X$83)+SUMIF('прогноз на 20.05.12'!$C$7:$C$83,$I12,'прогноз на 20.05.12'!X$7:X$83)+SUMIF('прогноз на 20.05.12'!$C$7:$C$83,$K12,'прогноз на 20.05.12'!X$7:X$83)</f>
        <v>0</v>
      </c>
      <c r="AG12" s="41">
        <f>SUMIF('прогноз на 20.05.12'!$C$7:$C$83,$C12,'прогноз на 20.05.12'!Y$7:Y$83)+SUMIF('прогноз на 20.05.12'!$C$7:$C$83,$E12,'прогноз на 20.05.12'!Y$7:Y$83)+SUMIF('прогноз на 20.05.12'!$C$7:$C$83,$G12,'прогноз на 20.05.12'!Y$7:Y$83)+SUMIF('прогноз на 20.05.12'!$C$7:$C$83,$I12,'прогноз на 20.05.12'!Y$7:Y$83)+SUMIF('прогноз на 20.05.12'!$C$7:$C$83,$K12,'прогноз на 20.05.12'!Y$7:Y$83)</f>
        <v>0</v>
      </c>
      <c r="AH12" s="41">
        <f>SUMIF('прогноз на 20.05.12'!$C$7:$C$83,$C12,'прогноз на 20.05.12'!Z$7:Z$83)+SUMIF('прогноз на 20.05.12'!$C$7:$C$83,$E12,'прогноз на 20.05.12'!Z$7:Z$83)+SUMIF('прогноз на 20.05.12'!$C$7:$C$83,$G12,'прогноз на 20.05.12'!Z$7:Z$83)+SUMIF('прогноз на 20.05.12'!$C$7:$C$83,$I12,'прогноз на 20.05.12'!Z$7:Z$83)+SUMIF('прогноз на 20.05.12'!$C$7:$C$83,$K12,'прогноз на 20.05.12'!Z$7:Z$83)</f>
        <v>0</v>
      </c>
      <c r="AI12" s="41">
        <f>SUMIF('прогноз на 20.05.12'!$C$7:$C$83,$C12,'прогноз на 20.05.12'!AA$7:AA$83)+SUMIF('прогноз на 20.05.12'!$C$7:$C$83,$E12,'прогноз на 20.05.12'!AA$7:AA$83)+SUMIF('прогноз на 20.05.12'!$C$7:$C$83,$G12,'прогноз на 20.05.12'!AA$7:AA$83)+SUMIF('прогноз на 20.05.12'!$C$7:$C$83,$I12,'прогноз на 20.05.12'!AA$7:AA$83)+SUMIF('прогноз на 20.05.12'!$C$7:$C$83,$K12,'прогноз на 20.05.12'!AA$7:AA$83)</f>
        <v>0</v>
      </c>
      <c r="AJ12" s="41">
        <f>SUMIF('прогноз на 20.05.12'!$C$7:$C$83,$C12,'прогноз на 20.05.12'!AB$7:AB$83)+SUMIF('прогноз на 20.05.12'!$C$7:$C$83,$E12,'прогноз на 20.05.12'!AB$7:AB$83)+SUMIF('прогноз на 20.05.12'!$C$7:$C$83,$G12,'прогноз на 20.05.12'!AB$7:AB$83)+SUMIF('прогноз на 20.05.12'!$C$7:$C$83,$I12,'прогноз на 20.05.12'!AB$7:AB$83)+SUMIF('прогноз на 20.05.12'!$C$7:$C$83,$K12,'прогноз на 20.05.12'!AB$7:AB$83)</f>
        <v>0</v>
      </c>
      <c r="AK12" s="41">
        <f>SUMIF('прогноз на 20.05.12'!$C$7:$C$83,$C12,'прогноз на 20.05.12'!AC$7:AC$83)+SUMIF('прогноз на 20.05.12'!$C$7:$C$83,$E12,'прогноз на 20.05.12'!AC$7:AC$83)+SUMIF('прогноз на 20.05.12'!$C$7:$C$83,$G12,'прогноз на 20.05.12'!AC$7:AC$83)+SUMIF('прогноз на 20.05.12'!$C$7:$C$83,$I12,'прогноз на 20.05.12'!AC$7:AC$83)+SUMIF('прогноз на 20.05.12'!$C$7:$C$83,$K12,'прогноз на 20.05.12'!AC$7:AC$83)</f>
        <v>0</v>
      </c>
      <c r="AL12" s="41">
        <f>SUMIF('прогноз на 20.05.12'!$C$7:$C$83,$C12,'прогноз на 20.05.12'!AD$7:AD$83)+SUMIF('прогноз на 20.05.12'!$C$7:$C$83,$E12,'прогноз на 20.05.12'!AD$7:AD$83)+SUMIF('прогноз на 20.05.12'!$C$7:$C$83,$G12,'прогноз на 20.05.12'!AD$7:AD$83)+SUMIF('прогноз на 20.05.12'!$C$7:$C$83,$I12,'прогноз на 20.05.12'!AD$7:AD$83)+SUMIF('прогноз на 20.05.12'!$C$7:$C$83,$K12,'прогноз на 20.05.12'!AD$7:AD$83)</f>
        <v>0</v>
      </c>
      <c r="AM12" s="41">
        <f>SUMIF('прогноз на 20.05.12'!$C$7:$C$83,$C12,'прогноз на 20.05.12'!AE$7:AE$83)+SUMIF('прогноз на 20.05.12'!$C$7:$C$83,$E12,'прогноз на 20.05.12'!AE$7:AE$83)+SUMIF('прогноз на 20.05.12'!$C$7:$C$83,$G12,'прогноз на 20.05.12'!AE$7:AE$83)+SUMIF('прогноз на 20.05.12'!$C$7:$C$83,$I12,'прогноз на 20.05.12'!AE$7:AE$83)+SUMIF('прогноз на 20.05.12'!$C$7:$C$83,$K12,'прогноз на 20.05.12'!AE$7:AE$83)</f>
        <v>0</v>
      </c>
      <c r="AN12" s="41">
        <f>SUMIF('прогноз на 20.05.12'!$C$7:$C$83,$C12,'прогноз на 20.05.12'!AF$7:AF$83)+SUMIF('прогноз на 20.05.12'!$C$7:$C$83,$E12,'прогноз на 20.05.12'!AF$7:AF$83)+SUMIF('прогноз на 20.05.12'!$C$7:$C$83,$G12,'прогноз на 20.05.12'!AF$7:AF$83)+SUMIF('прогноз на 20.05.12'!$C$7:$C$83,$I12,'прогноз на 20.05.12'!AF$7:AF$83)+SUMIF('прогноз на 20.05.12'!$C$7:$C$83,$K12,'прогноз на 20.05.12'!AF$7:AF$83)</f>
        <v>0</v>
      </c>
      <c r="AO12" s="41">
        <f>SUMIF('прогноз на 20.05.12'!$C$7:$C$83,$C12,'прогноз на 20.05.12'!AG$7:AG$83)+SUMIF('прогноз на 20.05.12'!$C$7:$C$83,$E12,'прогноз на 20.05.12'!AG$7:AG$83)+SUMIF('прогноз на 20.05.12'!$C$7:$C$83,$G12,'прогноз на 20.05.12'!AG$7:AG$83)+SUMIF('прогноз на 20.05.12'!$C$7:$C$83,$I12,'прогноз на 20.05.12'!AG$7:AG$83)+SUMIF('прогноз на 20.05.12'!$C$7:$C$83,$K12,'прогноз на 20.05.12'!AG$7:AG$83)</f>
        <v>203</v>
      </c>
      <c r="AP12" s="41">
        <f>SUMIF('прогноз на 20.05.12'!$C$7:$C$83,$C12,'прогноз на 20.05.12'!AH$7:AH$83)+SUMIF('прогноз на 20.05.12'!$C$7:$C$83,$E12,'прогноз на 20.05.12'!AH$7:AH$83)+SUMIF('прогноз на 20.05.12'!$C$7:$C$83,$G12,'прогноз на 20.05.12'!AH$7:AH$83)+SUMIF('прогноз на 20.05.12'!$C$7:$C$83,$I12,'прогноз на 20.05.12'!AH$7:AH$83)+SUMIF('прогноз на 20.05.12'!$C$7:$C$83,$K12,'прогноз на 20.05.12'!AH$7:AH$83)</f>
        <v>203</v>
      </c>
      <c r="AQ12" s="41">
        <f>SUMIF('прогноз на 20.05.12'!$C$7:$C$83,$C12,'прогноз на 20.05.12'!AM$7:AM$83)+SUMIF('прогноз на 20.05.12'!$C$7:$C$83,$E12,'прогноз на 20.05.12'!AM$7:AM$83)+SUMIF('прогноз на 20.05.12'!$C$7:$C$83,$G12,'прогноз на 20.05.12'!AM$7:AM$83)+SUMIF('прогноз на 20.05.12'!$C$7:$C$83,$I12,'прогноз на 20.05.12'!AM$7:AM$83)+SUMIF('прогноз на 20.05.12'!$C$7:$C$83,$K12,'прогноз на 20.05.12'!AM$7:AM$83)</f>
        <v>0</v>
      </c>
      <c r="AR12" s="41">
        <f>SUMIF('прогноз на 20.05.12'!$C$7:$C$83,$C12,'прогноз на 20.05.12'!AN$7:AN$83)+SUMIF('прогноз на 20.05.12'!$C$7:$C$83,$E12,'прогноз на 20.05.12'!AN$7:AN$83)+SUMIF('прогноз на 20.05.12'!$C$7:$C$83,$G12,'прогноз на 20.05.12'!AN$7:AN$83)+SUMIF('прогноз на 20.05.12'!$C$7:$C$83,$I12,'прогноз на 20.05.12'!AN$7:AN$83)+SUMIF('прогноз на 20.05.12'!$C$7:$C$83,$K12,'прогноз на 20.05.12'!AN$7:AN$83)</f>
        <v>0</v>
      </c>
      <c r="AS12" s="41">
        <f>SUMIF('прогноз на 20.05.12'!$C$7:$C$83,$C12,'прогноз на 20.05.12'!AO$7:AO$83)+SUMIF('прогноз на 20.05.12'!$C$7:$C$83,$E12,'прогноз на 20.05.12'!AO$7:AO$83)+SUMIF('прогноз на 20.05.12'!$C$7:$C$83,$G12,'прогноз на 20.05.12'!AO$7:AO$83)+SUMIF('прогноз на 20.05.12'!$C$7:$C$83,$I12,'прогноз на 20.05.12'!AO$7:AO$83)+SUMIF('прогноз на 20.05.12'!$C$7:$C$83,$K12,'прогноз на 20.05.12'!AO$7:AO$83)</f>
        <v>0</v>
      </c>
      <c r="AT12" s="41">
        <f>SUMIF('прогноз на 20.05.12'!$C$7:$C$83,$C12,'прогноз на 20.05.12'!AP$7:AP$83)+SUMIF('прогноз на 20.05.12'!$C$7:$C$83,$E12,'прогноз на 20.05.12'!AP$7:AP$83)+SUMIF('прогноз на 20.05.12'!$C$7:$C$83,$G12,'прогноз на 20.05.12'!AP$7:AP$83)+SUMIF('прогноз на 20.05.12'!$C$7:$C$83,$I12,'прогноз на 20.05.12'!AP$7:AP$83)+SUMIF('прогноз на 20.05.12'!$C$7:$C$83,$K12,'прогноз на 20.05.12'!AP$7:AP$83)</f>
        <v>0</v>
      </c>
      <c r="AU12" s="41">
        <f>SUMIF('прогноз на 20.05.12'!$C$7:$C$83,$C12,'прогноз на 20.05.12'!AU$7:AU$83)+SUMIF('прогноз на 20.05.12'!$C$7:$C$83,$E12,'прогноз на 20.05.12'!AU$7:AU$83)+SUMIF('прогноз на 20.05.12'!$C$7:$C$83,$G12,'прогноз на 20.05.12'!AU$7:AU$83)+SUMIF('прогноз на 20.05.12'!$C$7:$C$83,$I12,'прогноз на 20.05.12'!AU$7:AU$83)+SUMIF('прогноз на 20.05.12'!$C$7:$C$83,$K12,'прогноз на 20.05.12'!AU$7:AU$83)</f>
        <v>0</v>
      </c>
      <c r="AV12" s="41">
        <f>SUMIF('прогноз на 20.05.12'!$C$7:$C$83,$C12,'прогноз на 20.05.12'!AV$7:AV$83)+SUMIF('прогноз на 20.05.12'!$C$7:$C$83,$E12,'прогноз на 20.05.12'!AV$7:AV$83)+SUMIF('прогноз на 20.05.12'!$C$7:$C$83,$G12,'прогноз на 20.05.12'!AV$7:AV$83)+SUMIF('прогноз на 20.05.12'!$C$7:$C$83,$I12,'прогноз на 20.05.12'!AV$7:AV$83)+SUMIF('прогноз на 20.05.12'!$C$7:$C$83,$K12,'прогноз на 20.05.12'!AV$7:AV$83)</f>
        <v>0</v>
      </c>
      <c r="AW12" s="41">
        <f>SUMIF('прогноз на 20.05.12'!$C$7:$C$83,$C12,'прогноз на 20.05.12'!AW$7:AW$83)+SUMIF('прогноз на 20.05.12'!$C$7:$C$83,$E12,'прогноз на 20.05.12'!AW$7:AW$83)+SUMIF('прогноз на 20.05.12'!$C$7:$C$83,$G12,'прогноз на 20.05.12'!AW$7:AW$83)+SUMIF('прогноз на 20.05.12'!$C$7:$C$83,$I12,'прогноз на 20.05.12'!AW$7:AW$83)+SUMIF('прогноз на 20.05.12'!$C$7:$C$83,$K12,'прогноз на 20.05.12'!AW$7:AW$83)</f>
        <v>0</v>
      </c>
      <c r="AX12" s="41">
        <f>SUMIF('прогноз на 20.05.12'!$C$7:$C$83,$C12,'прогноз на 20.05.12'!AX$7:AX$83)+SUMIF('прогноз на 20.05.12'!$C$7:$C$83,$E12,'прогноз на 20.05.12'!AX$7:AX$83)+SUMIF('прогноз на 20.05.12'!$C$7:$C$83,$G12,'прогноз на 20.05.12'!AX$7:AX$83)+SUMIF('прогноз на 20.05.12'!$C$7:$C$83,$I12,'прогноз на 20.05.12'!AX$7:AX$83)+SUMIF('прогноз на 20.05.12'!$C$7:$C$83,$K12,'прогноз на 20.05.12'!AX$7:AX$83)</f>
        <v>0</v>
      </c>
      <c r="AY12" s="41">
        <f>SUMIF('прогноз на 20.05.12'!$C$7:$C$83,$C12,'прогноз на 20.05.12'!AY$7:AY$83)+SUMIF('прогноз на 20.05.12'!$C$7:$C$83,$E12,'прогноз на 20.05.12'!AY$7:AY$83)+SUMIF('прогноз на 20.05.12'!$C$7:$C$83,$G12,'прогноз на 20.05.12'!AY$7:AY$83)+SUMIF('прогноз на 20.05.12'!$C$7:$C$83,$I12,'прогноз на 20.05.12'!AY$7:AY$83)+SUMIF('прогноз на 20.05.12'!$C$7:$C$83,$K12,'прогноз на 20.05.12'!AY$7:AY$83)</f>
        <v>0</v>
      </c>
      <c r="AZ12" s="41">
        <f>SUMIF('прогноз на 20.05.12'!$C$7:$C$83,$C12,'прогноз на 20.05.12'!AZ$7:AZ$83)+SUMIF('прогноз на 20.05.12'!$C$7:$C$83,$E12,'прогноз на 20.05.12'!AZ$7:AZ$83)+SUMIF('прогноз на 20.05.12'!$C$7:$C$83,$G12,'прогноз на 20.05.12'!AZ$7:AZ$83)+SUMIF('прогноз на 20.05.12'!$C$7:$C$83,$I12,'прогноз на 20.05.12'!AZ$7:AZ$83)+SUMIF('прогноз на 20.05.12'!$C$7:$C$83,$K12,'прогноз на 20.05.12'!AZ$7:AZ$83)</f>
        <v>0</v>
      </c>
      <c r="BA12" s="41">
        <f>SUMIF('прогноз на 20.05.12'!$C$7:$C$83,$C12,'прогноз на 20.05.12'!BA$7:BA$83)+SUMIF('прогноз на 20.05.12'!$C$7:$C$83,$E12,'прогноз на 20.05.12'!BA$7:BA$83)+SUMIF('прогноз на 20.05.12'!$C$7:$C$83,$G12,'прогноз на 20.05.12'!BA$7:BA$83)+SUMIF('прогноз на 20.05.12'!$C$7:$C$83,$I12,'прогноз на 20.05.12'!BA$7:BA$83)+SUMIF('прогноз на 20.05.12'!$C$7:$C$83,$K12,'прогноз на 20.05.12'!BA$7:BA$83)</f>
        <v>0</v>
      </c>
      <c r="BB12" s="41">
        <f>SUMIF('прогноз на 20.05.12'!$C$7:$C$83,$C12,'прогноз на 20.05.12'!BB$7:BB$83)+SUMIF('прогноз на 20.05.12'!$C$7:$C$83,$E12,'прогноз на 20.05.12'!BB$7:BB$83)+SUMIF('прогноз на 20.05.12'!$C$7:$C$83,$G12,'прогноз на 20.05.12'!BB$7:BB$83)+SUMIF('прогноз на 20.05.12'!$C$7:$C$83,$I12,'прогноз на 20.05.12'!BB$7:BB$83)+SUMIF('прогноз на 20.05.12'!$C$7:$C$83,$K12,'прогноз на 20.05.12'!BB$7:BB$83)</f>
        <v>0</v>
      </c>
      <c r="BC12" s="41">
        <f>SUMIF('прогноз на 20.05.12'!$C$7:$C$83,$C12,'прогноз на 20.05.12'!BC$7:BC$83)+SUMIF('прогноз на 20.05.12'!$C$7:$C$83,$E12,'прогноз на 20.05.12'!BC$7:BC$83)+SUMIF('прогноз на 20.05.12'!$C$7:$C$83,$G12,'прогноз на 20.05.12'!BC$7:BC$83)+SUMIF('прогноз на 20.05.12'!$C$7:$C$83,$I12,'прогноз на 20.05.12'!BC$7:BC$83)+SUMIF('прогноз на 20.05.12'!$C$7:$C$83,$K12,'прогноз на 20.05.12'!BC$7:BC$83)</f>
        <v>-1119638</v>
      </c>
      <c r="BD12" s="41">
        <f>SUMIF('прогноз на 20.05.12'!$C$7:$C$83,$C12,'прогноз на 20.05.12'!BD$7:BD$83)+SUMIF('прогноз на 20.05.12'!$C$7:$C$83,$E12,'прогноз на 20.05.12'!BD$7:BD$83)+SUMIF('прогноз на 20.05.12'!$C$7:$C$83,$G12,'прогноз на 20.05.12'!BD$7:BD$83)+SUMIF('прогноз на 20.05.12'!$C$7:$C$83,$I12,'прогноз на 20.05.12'!BD$7:BD$83)+SUMIF('прогноз на 20.05.12'!$C$7:$C$83,$K12,'прогноз на 20.05.12'!BD$7:BD$83)</f>
        <v>0</v>
      </c>
      <c r="BE12" s="41">
        <f>SUMIF('прогноз на 20.05.12'!$C$7:$C$83,$C12,'прогноз на 20.05.12'!BE$7:BE$83)+SUMIF('прогноз на 20.05.12'!$C$7:$C$83,$E12,'прогноз на 20.05.12'!BE$7:BE$83)+SUMIF('прогноз на 20.05.12'!$C$7:$C$83,$G12,'прогноз на 20.05.12'!BE$7:BE$83)+SUMIF('прогноз на 20.05.12'!$C$7:$C$83,$I12,'прогноз на 20.05.12'!BE$7:BE$83)+SUMIF('прогноз на 20.05.12'!$C$7:$C$83,$K12,'прогноз на 20.05.12'!BE$7:BE$83)</f>
        <v>-1119638</v>
      </c>
      <c r="BF12" s="41">
        <f>SUMIF('прогноз на 20.05.12'!$C$7:$C$83,$C12,'прогноз на 20.05.12'!BF$7:BF$83)+SUMIF('прогноз на 20.05.12'!$C$7:$C$83,$E12,'прогноз на 20.05.12'!BF$7:BF$83)+SUMIF('прогноз на 20.05.12'!$C$7:$C$83,$G12,'прогноз на 20.05.12'!BF$7:BF$83)+SUMIF('прогноз на 20.05.12'!$C$7:$C$83,$I12,'прогноз на 20.05.12'!BF$7:BF$83)+SUMIF('прогноз на 20.05.12'!$C$7:$C$83,$K12,'прогноз на 20.05.12'!BF$7:BF$83)</f>
        <v>-1119638</v>
      </c>
      <c r="BG12" s="41">
        <f>SUMIF('прогноз на 20.05.12'!$C$7:$C$83,$C12,'прогноз на 20.05.12'!BG$7:BG$83)+SUMIF('прогноз на 20.05.12'!$C$7:$C$83,$E12,'прогноз на 20.05.12'!BG$7:BG$83)+SUMIF('прогноз на 20.05.12'!$C$7:$C$83,$G12,'прогноз на 20.05.12'!BG$7:BG$83)+SUMIF('прогноз на 20.05.12'!$C$7:$C$83,$I12,'прогноз на 20.05.12'!BG$7:BG$83)+SUMIF('прогноз на 20.05.12'!$C$7:$C$83,$K12,'прогноз на 20.05.12'!BG$7:BG$83)</f>
        <v>0</v>
      </c>
      <c r="BH12" s="41">
        <f>SUMIF('прогноз на 20.05.12'!$C$7:$C$83,$C12,'прогноз на 20.05.12'!BH$7:BH$83)+SUMIF('прогноз на 20.05.12'!$C$7:$C$83,$E12,'прогноз на 20.05.12'!BH$7:BH$83)+SUMIF('прогноз на 20.05.12'!$C$7:$C$83,$G12,'прогноз на 20.05.12'!BH$7:BH$83)+SUMIF('прогноз на 20.05.12'!$C$7:$C$83,$I12,'прогноз на 20.05.12'!BH$7:BH$83)+SUMIF('прогноз на 20.05.12'!$C$7:$C$83,$K12,'прогноз на 20.05.12'!BH$7:BH$83)</f>
        <v>-1119638</v>
      </c>
      <c r="BI12" s="90" t="str">
        <f t="shared" si="10"/>
        <v/>
      </c>
      <c r="BJ12" s="90" t="str">
        <f t="shared" si="11"/>
        <v/>
      </c>
      <c r="BK12" s="90">
        <f t="shared" si="12"/>
        <v>20.3</v>
      </c>
      <c r="BL12" s="90">
        <f t="shared" si="13"/>
        <v>20.3</v>
      </c>
    </row>
    <row r="13" spans="1:64" s="59" customFormat="1" ht="18.75">
      <c r="A13" s="38">
        <v>7</v>
      </c>
      <c r="B13" s="39" t="s">
        <v>50</v>
      </c>
      <c r="C13" s="40" t="s">
        <v>201</v>
      </c>
      <c r="D13" s="56" t="s">
        <v>34</v>
      </c>
      <c r="E13" s="56" t="s">
        <v>234</v>
      </c>
      <c r="F13" s="56" t="s">
        <v>38</v>
      </c>
      <c r="G13" s="56" t="s">
        <v>241</v>
      </c>
      <c r="H13" s="58"/>
      <c r="I13" s="58"/>
      <c r="J13" s="58"/>
      <c r="K13" s="58"/>
      <c r="L13" s="41">
        <f>SUMIF('прогноз на 20.05.12'!$C$7:$C$83,$C13,'прогноз на 20.05.12'!D$7:D$83)+SUMIF('прогноз на 20.05.12'!$C$7:$C$83,$E13,'прогноз на 20.05.12'!D$7:D$83)+SUMIF('прогноз на 20.05.12'!$C$7:$C$83,$G13,'прогноз на 20.05.12'!D$7:D$83)+SUMIF('прогноз на 20.05.12'!$C$7:$C$83,$I13,'прогноз на 20.05.12'!D$7:D$83)+SUMIF('прогноз на 20.05.12'!$C$7:$C$83,$K13,'прогноз на 20.05.12'!D$7:D$83)</f>
        <v>29</v>
      </c>
      <c r="M13" s="41">
        <f>SUMIF('прогноз на 20.05.12'!$C$7:$C$83,$C13,'прогноз на 20.05.12'!E$7:E$83)+SUMIF('прогноз на 20.05.12'!$C$7:$C$83,$E13,'прогноз на 20.05.12'!E$7:E$83)+SUMIF('прогноз на 20.05.12'!$C$7:$C$83,$G13,'прогноз на 20.05.12'!E$7:E$83)+SUMIF('прогноз на 20.05.12'!$C$7:$C$83,$I13,'прогноз на 20.05.12'!E$7:E$83)+SUMIF('прогноз на 20.05.12'!$C$7:$C$83,$K13,'прогноз на 20.05.12'!E$7:E$83)</f>
        <v>37</v>
      </c>
      <c r="N13" s="41">
        <f>SUMIF('прогноз на 20.05.12'!$C$7:$C$83,$C13,'прогноз на 20.05.12'!F$7:F$83)+SUMIF('прогноз на 20.05.12'!$C$7:$C$83,$E13,'прогноз на 20.05.12'!F$7:F$83)+SUMIF('прогноз на 20.05.12'!$C$7:$C$83,$G13,'прогноз на 20.05.12'!F$7:F$83)+SUMIF('прогноз на 20.05.12'!$C$7:$C$83,$I13,'прогноз на 20.05.12'!F$7:F$83)+SUMIF('прогноз на 20.05.12'!$C$7:$C$83,$K13,'прогноз на 20.05.12'!F$7:F$83)</f>
        <v>23</v>
      </c>
      <c r="O13" s="44">
        <f t="shared" si="6"/>
        <v>89</v>
      </c>
      <c r="P13" s="41">
        <f>SUMIF('прогноз на 20.05.12'!$C$7:$C$83,$C13,'прогноз на 20.05.12'!H$7:H$83)+SUMIF('прогноз на 20.05.12'!$C$7:$C$83,$E13,'прогноз на 20.05.12'!H$7:H$83)+SUMIF('прогноз на 20.05.12'!$C$7:$C$83,$G13,'прогноз на 20.05.12'!H$7:H$83)+SUMIF('прогноз на 20.05.12'!$C$7:$C$83,$I13,'прогноз на 20.05.12'!H$7:H$83)+SUMIF('прогноз на 20.05.12'!$C$7:$C$83,$K13,'прогноз на 20.05.12'!H$7:H$83)</f>
        <v>5</v>
      </c>
      <c r="Q13" s="41">
        <f>SUMIF('прогноз на 20.05.12'!$C$7:$C$83,$C13,'прогноз на 20.05.12'!I$7:I$83)+SUMIF('прогноз на 20.05.12'!$C$7:$C$83,$E13,'прогноз на 20.05.12'!I$7:I$83)+SUMIF('прогноз на 20.05.12'!$C$7:$C$83,$G13,'прогноз на 20.05.12'!I$7:I$83)+SUMIF('прогноз на 20.05.12'!$C$7:$C$83,$I13,'прогноз на 20.05.12'!I$7:I$83)+SUMIF('прогноз на 20.05.12'!$C$7:$C$83,$K13,'прогноз на 20.05.12'!I$7:I$83)</f>
        <v>5</v>
      </c>
      <c r="R13" s="41">
        <f>SUMIF('прогноз на 20.05.12'!$C$7:$C$83,$C13,'прогноз на 20.05.12'!J$7:J$83)+SUMIF('прогноз на 20.05.12'!$C$7:$C$83,$E13,'прогноз на 20.05.12'!J$7:J$83)+SUMIF('прогноз на 20.05.12'!$C$7:$C$83,$G13,'прогноз на 20.05.12'!J$7:J$83)+SUMIF('прогноз на 20.05.12'!$C$7:$C$83,$I13,'прогноз на 20.05.12'!J$7:J$83)+SUMIF('прогноз на 20.05.12'!$C$7:$C$83,$K13,'прогноз на 20.05.12'!J$7:J$83)</f>
        <v>2</v>
      </c>
      <c r="S13" s="45">
        <f t="shared" si="7"/>
        <v>12</v>
      </c>
      <c r="T13" s="41">
        <f>SUMIF('прогноз на 20.05.12'!$C$7:$C$83,$C13,'прогноз на 20.05.12'!L$7:L$83)+SUMIF('прогноз на 20.05.12'!$C$7:$C$83,$E13,'прогноз на 20.05.12'!L$7:L$83)+SUMIF('прогноз на 20.05.12'!$C$7:$C$83,$G13,'прогноз на 20.05.12'!L$7:L$83)+SUMIF('прогноз на 20.05.12'!$C$7:$C$83,$I13,'прогноз на 20.05.12'!L$7:L$83)+SUMIF('прогноз на 20.05.12'!$C$7:$C$83,$K13,'прогноз на 20.05.12'!L$7:L$83)</f>
        <v>0</v>
      </c>
      <c r="U13" s="41">
        <f>SUMIF('прогноз на 20.05.12'!$C$7:$C$83,$C13,'прогноз на 20.05.12'!M$7:M$83)+SUMIF('прогноз на 20.05.12'!$C$7:$C$83,$E13,'прогноз на 20.05.12'!M$7:M$83)+SUMIF('прогноз на 20.05.12'!$C$7:$C$83,$G13,'прогноз на 20.05.12'!M$7:M$83)+SUMIF('прогноз на 20.05.12'!$C$7:$C$83,$I13,'прогноз на 20.05.12'!M$7:M$83)+SUMIF('прогноз на 20.05.12'!$C$7:$C$83,$K13,'прогноз на 20.05.12'!M$7:M$83)</f>
        <v>0</v>
      </c>
      <c r="V13" s="41">
        <f>SUMIF('прогноз на 20.05.12'!$C$7:$C$83,$C13,'прогноз на 20.05.12'!N$7:N$83)+SUMIF('прогноз на 20.05.12'!$C$7:$C$83,$E13,'прогноз на 20.05.12'!N$7:N$83)+SUMIF('прогноз на 20.05.12'!$C$7:$C$83,$G13,'прогноз на 20.05.12'!N$7:N$83)+SUMIF('прогноз на 20.05.12'!$C$7:$C$83,$I13,'прогноз на 20.05.12'!N$7:N$83)+SUMIF('прогноз на 20.05.12'!$C$7:$C$83,$K13,'прогноз на 20.05.12'!N$7:N$83)</f>
        <v>0</v>
      </c>
      <c r="W13" s="45">
        <f t="shared" si="8"/>
        <v>0</v>
      </c>
      <c r="X13" s="41">
        <f>SUMIF('прогноз на 20.05.12'!$C$7:$C$83,$C13,'прогноз на 20.05.12'!P$7:P$83)+SUMIF('прогноз на 20.05.12'!$C$7:$C$83,$E13,'прогноз на 20.05.12'!P$7:P$83)+SUMIF('прогноз на 20.05.12'!$C$7:$C$83,$G13,'прогноз на 20.05.12'!P$7:P$83)+SUMIF('прогноз на 20.05.12'!$C$7:$C$83,$I13,'прогноз на 20.05.12'!P$7:P$83)+SUMIF('прогноз на 20.05.12'!$C$7:$C$83,$K13,'прогноз на 20.05.12'!P$7:P$83)</f>
        <v>0</v>
      </c>
      <c r="Y13" s="41">
        <f>SUMIF('прогноз на 20.05.12'!$C$7:$C$83,$C13,'прогноз на 20.05.12'!Q$7:Q$83)+SUMIF('прогноз на 20.05.12'!$C$7:$C$83,$E13,'прогноз на 20.05.12'!Q$7:Q$83)+SUMIF('прогноз на 20.05.12'!$C$7:$C$83,$G13,'прогноз на 20.05.12'!Q$7:Q$83)+SUMIF('прогноз на 20.05.12'!$C$7:$C$83,$I13,'прогноз на 20.05.12'!Q$7:Q$83)+SUMIF('прогноз на 20.05.12'!$C$7:$C$83,$K13,'прогноз на 20.05.12'!Q$7:Q$83)</f>
        <v>0</v>
      </c>
      <c r="Z13" s="41">
        <f>SUMIF('прогноз на 20.05.12'!$C$7:$C$83,$C13,'прогноз на 20.05.12'!R$7:R$83)+SUMIF('прогноз на 20.05.12'!$C$7:$C$83,$E13,'прогноз на 20.05.12'!R$7:R$83)+SUMIF('прогноз на 20.05.12'!$C$7:$C$83,$G13,'прогноз на 20.05.12'!R$7:R$83)+SUMIF('прогноз на 20.05.12'!$C$7:$C$83,$I13,'прогноз на 20.05.12'!R$7:R$83)+SUMIF('прогноз на 20.05.12'!$C$7:$C$83,$K13,'прогноз на 20.05.12'!R$7:R$83)</f>
        <v>0</v>
      </c>
      <c r="AA13" s="41">
        <f>SUMIF('прогноз на 20.05.12'!$C$7:$C$83,$C13,'прогноз на 20.05.12'!S$7:S$83)+SUMIF('прогноз на 20.05.12'!$C$7:$C$83,$E13,'прогноз на 20.05.12'!S$7:S$83)+SUMIF('прогноз на 20.05.12'!$C$7:$C$83,$G13,'прогноз на 20.05.12'!S$7:S$83)+SUMIF('прогноз на 20.05.12'!$C$7:$C$83,$I13,'прогноз на 20.05.12'!S$7:S$83)+SUMIF('прогноз на 20.05.12'!$C$7:$C$83,$K13,'прогноз на 20.05.12'!S$7:S$83)</f>
        <v>45</v>
      </c>
      <c r="AB13" s="41">
        <f>SUMIF('прогноз на 20.05.12'!$C$7:$C$83,$C13,'прогноз на 20.05.12'!T$7:T$83)+SUMIF('прогноз на 20.05.12'!$C$7:$C$83,$E13,'прогноз на 20.05.12'!T$7:T$83)+SUMIF('прогноз на 20.05.12'!$C$7:$C$83,$G13,'прогноз на 20.05.12'!T$7:T$83)+SUMIF('прогноз на 20.05.12'!$C$7:$C$83,$I13,'прогноз на 20.05.12'!T$7:T$83)+SUMIF('прогноз на 20.05.12'!$C$7:$C$83,$K13,'прогноз на 20.05.12'!T$7:T$83)</f>
        <v>70</v>
      </c>
      <c r="AC13" s="41">
        <f>SUMIF('прогноз на 20.05.12'!$C$7:$C$83,$C13,'прогноз на 20.05.12'!U$7:U$83)+SUMIF('прогноз на 20.05.12'!$C$7:$C$83,$E13,'прогноз на 20.05.12'!U$7:U$83)+SUMIF('прогноз на 20.05.12'!$C$7:$C$83,$G13,'прогноз на 20.05.12'!U$7:U$83)+SUMIF('прогноз на 20.05.12'!$C$7:$C$83,$I13,'прогноз на 20.05.12'!U$7:U$83)+SUMIF('прогноз на 20.05.12'!$C$7:$C$83,$K13,'прогноз на 20.05.12'!U$7:U$83)</f>
        <v>28</v>
      </c>
      <c r="AD13" s="41">
        <f>SUMIF('прогноз на 20.05.12'!$C$7:$C$83,$C13,'прогноз на 20.05.12'!V$7:V$83)+SUMIF('прогноз на 20.05.12'!$C$7:$C$83,$E13,'прогноз на 20.05.12'!V$7:V$83)+SUMIF('прогноз на 20.05.12'!$C$7:$C$83,$G13,'прогноз на 20.05.12'!V$7:V$83)+SUMIF('прогноз на 20.05.12'!$C$7:$C$83,$I13,'прогноз на 20.05.12'!V$7:V$83)+SUMIF('прогноз на 20.05.12'!$C$7:$C$83,$K13,'прогноз на 20.05.12'!V$7:V$83)</f>
        <v>143</v>
      </c>
      <c r="AE13" s="41">
        <f>SUMIF('прогноз на 20.05.12'!$C$7:$C$83,$C13,'прогноз на 20.05.12'!W$7:W$83)+SUMIF('прогноз на 20.05.12'!$C$7:$C$83,$E13,'прогноз на 20.05.12'!W$7:W$83)+SUMIF('прогноз на 20.05.12'!$C$7:$C$83,$G13,'прогноз на 20.05.12'!W$7:W$83)+SUMIF('прогноз на 20.05.12'!$C$7:$C$83,$I13,'прогноз на 20.05.12'!W$7:W$83)+SUMIF('прогноз на 20.05.12'!$C$7:$C$83,$K13,'прогноз на 20.05.12'!W$7:W$83)</f>
        <v>16</v>
      </c>
      <c r="AF13" s="41">
        <f>SUMIF('прогноз на 20.05.12'!$C$7:$C$83,$C13,'прогноз на 20.05.12'!X$7:X$83)+SUMIF('прогноз на 20.05.12'!$C$7:$C$83,$E13,'прогноз на 20.05.12'!X$7:X$83)+SUMIF('прогноз на 20.05.12'!$C$7:$C$83,$G13,'прогноз на 20.05.12'!X$7:X$83)+SUMIF('прогноз на 20.05.12'!$C$7:$C$83,$I13,'прогноз на 20.05.12'!X$7:X$83)+SUMIF('прогноз на 20.05.12'!$C$7:$C$83,$K13,'прогноз на 20.05.12'!X$7:X$83)</f>
        <v>33</v>
      </c>
      <c r="AG13" s="41">
        <f>SUMIF('прогноз на 20.05.12'!$C$7:$C$83,$C13,'прогноз на 20.05.12'!Y$7:Y$83)+SUMIF('прогноз на 20.05.12'!$C$7:$C$83,$E13,'прогноз на 20.05.12'!Y$7:Y$83)+SUMIF('прогноз на 20.05.12'!$C$7:$C$83,$G13,'прогноз на 20.05.12'!Y$7:Y$83)+SUMIF('прогноз на 20.05.12'!$C$7:$C$83,$I13,'прогноз на 20.05.12'!Y$7:Y$83)+SUMIF('прогноз на 20.05.12'!$C$7:$C$83,$K13,'прогноз на 20.05.12'!Y$7:Y$83)</f>
        <v>5</v>
      </c>
      <c r="AH13" s="41">
        <f>SUMIF('прогноз на 20.05.12'!$C$7:$C$83,$C13,'прогноз на 20.05.12'!Z$7:Z$83)+SUMIF('прогноз на 20.05.12'!$C$7:$C$83,$E13,'прогноз на 20.05.12'!Z$7:Z$83)+SUMIF('прогноз на 20.05.12'!$C$7:$C$83,$G13,'прогноз на 20.05.12'!Z$7:Z$83)+SUMIF('прогноз на 20.05.12'!$C$7:$C$83,$I13,'прогноз на 20.05.12'!Z$7:Z$83)+SUMIF('прогноз на 20.05.12'!$C$7:$C$83,$K13,'прогноз на 20.05.12'!Z$7:Z$83)</f>
        <v>54</v>
      </c>
      <c r="AI13" s="41">
        <f>SUMIF('прогноз на 20.05.12'!$C$7:$C$83,$C13,'прогноз на 20.05.12'!AA$7:AA$83)+SUMIF('прогноз на 20.05.12'!$C$7:$C$83,$E13,'прогноз на 20.05.12'!AA$7:AA$83)+SUMIF('прогноз на 20.05.12'!$C$7:$C$83,$G13,'прогноз на 20.05.12'!AA$7:AA$83)+SUMIF('прогноз на 20.05.12'!$C$7:$C$83,$I13,'прогноз на 20.05.12'!AA$7:AA$83)+SUMIF('прогноз на 20.05.12'!$C$7:$C$83,$K13,'прогноз на 20.05.12'!AA$7:AA$83)</f>
        <v>12</v>
      </c>
      <c r="AJ13" s="41">
        <f>SUMIF('прогноз на 20.05.12'!$C$7:$C$83,$C13,'прогноз на 20.05.12'!AB$7:AB$83)+SUMIF('прогноз на 20.05.12'!$C$7:$C$83,$E13,'прогноз на 20.05.12'!AB$7:AB$83)+SUMIF('прогноз на 20.05.12'!$C$7:$C$83,$G13,'прогноз на 20.05.12'!AB$7:AB$83)+SUMIF('прогноз на 20.05.12'!$C$7:$C$83,$I13,'прогноз на 20.05.12'!AB$7:AB$83)+SUMIF('прогноз на 20.05.12'!$C$7:$C$83,$K13,'прогноз на 20.05.12'!AB$7:AB$83)</f>
        <v>24.75</v>
      </c>
      <c r="AK13" s="41">
        <f>SUMIF('прогноз на 20.05.12'!$C$7:$C$83,$C13,'прогноз на 20.05.12'!AC$7:AC$83)+SUMIF('прогноз на 20.05.12'!$C$7:$C$83,$E13,'прогноз на 20.05.12'!AC$7:AC$83)+SUMIF('прогноз на 20.05.12'!$C$7:$C$83,$G13,'прогноз на 20.05.12'!AC$7:AC$83)+SUMIF('прогноз на 20.05.12'!$C$7:$C$83,$I13,'прогноз на 20.05.12'!AC$7:AC$83)+SUMIF('прогноз на 20.05.12'!$C$7:$C$83,$K13,'прогноз на 20.05.12'!AC$7:AC$83)</f>
        <v>3.75</v>
      </c>
      <c r="AL13" s="41">
        <f>SUMIF('прогноз на 20.05.12'!$C$7:$C$83,$C13,'прогноз на 20.05.12'!AD$7:AD$83)+SUMIF('прогноз на 20.05.12'!$C$7:$C$83,$E13,'прогноз на 20.05.12'!AD$7:AD$83)+SUMIF('прогноз на 20.05.12'!$C$7:$C$83,$G13,'прогноз на 20.05.12'!AD$7:AD$83)+SUMIF('прогноз на 20.05.12'!$C$7:$C$83,$I13,'прогноз на 20.05.12'!AD$7:AD$83)+SUMIF('прогноз на 20.05.12'!$C$7:$C$83,$K13,'прогноз на 20.05.12'!AD$7:AD$83)</f>
        <v>40.5</v>
      </c>
      <c r="AM13" s="41">
        <f>SUMIF('прогноз на 20.05.12'!$C$7:$C$83,$C13,'прогноз на 20.05.12'!AE$7:AE$83)+SUMIF('прогноз на 20.05.12'!$C$7:$C$83,$E13,'прогноз на 20.05.12'!AE$7:AE$83)+SUMIF('прогноз на 20.05.12'!$C$7:$C$83,$G13,'прогноз на 20.05.12'!AE$7:AE$83)+SUMIF('прогноз на 20.05.12'!$C$7:$C$83,$I13,'прогноз на 20.05.12'!AE$7:AE$83)+SUMIF('прогноз на 20.05.12'!$C$7:$C$83,$K13,'прогноз на 20.05.12'!AE$7:AE$83)</f>
        <v>41</v>
      </c>
      <c r="AN13" s="41">
        <f>SUMIF('прогноз на 20.05.12'!$C$7:$C$83,$C13,'прогноз на 20.05.12'!AF$7:AF$83)+SUMIF('прогноз на 20.05.12'!$C$7:$C$83,$E13,'прогноз на 20.05.12'!AF$7:AF$83)+SUMIF('прогноз на 20.05.12'!$C$7:$C$83,$G13,'прогноз на 20.05.12'!AF$7:AF$83)+SUMIF('прогноз на 20.05.12'!$C$7:$C$83,$I13,'прогноз на 20.05.12'!AF$7:AF$83)+SUMIF('прогноз на 20.05.12'!$C$7:$C$83,$K13,'прогноз на 20.05.12'!AF$7:AF$83)</f>
        <v>61.75</v>
      </c>
      <c r="AO13" s="41">
        <f>SUMIF('прогноз на 20.05.12'!$C$7:$C$83,$C13,'прогноз на 20.05.12'!AG$7:AG$83)+SUMIF('прогноз на 20.05.12'!$C$7:$C$83,$E13,'прогноз на 20.05.12'!AG$7:AG$83)+SUMIF('прогноз на 20.05.12'!$C$7:$C$83,$G13,'прогноз на 20.05.12'!AG$7:AG$83)+SUMIF('прогноз на 20.05.12'!$C$7:$C$83,$I13,'прогноз на 20.05.12'!AG$7:AG$83)+SUMIF('прогноз на 20.05.12'!$C$7:$C$83,$K13,'прогноз на 20.05.12'!AG$7:AG$83)</f>
        <v>26.75</v>
      </c>
      <c r="AP13" s="41">
        <f>SUMIF('прогноз на 20.05.12'!$C$7:$C$83,$C13,'прогноз на 20.05.12'!AH$7:AH$83)+SUMIF('прогноз на 20.05.12'!$C$7:$C$83,$E13,'прогноз на 20.05.12'!AH$7:AH$83)+SUMIF('прогноз на 20.05.12'!$C$7:$C$83,$G13,'прогноз на 20.05.12'!AH$7:AH$83)+SUMIF('прогноз на 20.05.12'!$C$7:$C$83,$I13,'прогноз на 20.05.12'!AH$7:AH$83)+SUMIF('прогноз на 20.05.12'!$C$7:$C$83,$K13,'прогноз на 20.05.12'!AH$7:AH$83)</f>
        <v>129.5</v>
      </c>
      <c r="AQ13" s="41">
        <f>SUMIF('прогноз на 20.05.12'!$C$7:$C$83,$C13,'прогноз на 20.05.12'!AM$7:AM$83)+SUMIF('прогноз на 20.05.12'!$C$7:$C$83,$E13,'прогноз на 20.05.12'!AM$7:AM$83)+SUMIF('прогноз на 20.05.12'!$C$7:$C$83,$G13,'прогноз на 20.05.12'!AM$7:AM$83)+SUMIF('прогноз на 20.05.12'!$C$7:$C$83,$I13,'прогноз на 20.05.12'!AM$7:AM$83)+SUMIF('прогноз на 20.05.12'!$C$7:$C$83,$K13,'прогноз на 20.05.12'!AM$7:AM$83)</f>
        <v>239484</v>
      </c>
      <c r="AR13" s="41">
        <f>SUMIF('прогноз на 20.05.12'!$C$7:$C$83,$C13,'прогноз на 20.05.12'!AN$7:AN$83)+SUMIF('прогноз на 20.05.12'!$C$7:$C$83,$E13,'прогноз на 20.05.12'!AN$7:AN$83)+SUMIF('прогноз на 20.05.12'!$C$7:$C$83,$G13,'прогноз на 20.05.12'!AN$7:AN$83)+SUMIF('прогноз на 20.05.12'!$C$7:$C$83,$I13,'прогноз на 20.05.12'!AN$7:AN$83)+SUMIF('прогноз на 20.05.12'!$C$7:$C$83,$K13,'прогноз на 20.05.12'!AN$7:AN$83)</f>
        <v>840980.25</v>
      </c>
      <c r="AS13" s="41">
        <f>SUMIF('прогноз на 20.05.12'!$C$7:$C$83,$C13,'прогноз на 20.05.12'!AO$7:AO$83)+SUMIF('прогноз на 20.05.12'!$C$7:$C$83,$E13,'прогноз на 20.05.12'!AO$7:AO$83)+SUMIF('прогноз на 20.05.12'!$C$7:$C$83,$G13,'прогноз на 20.05.12'!AO$7:AO$83)+SUMIF('прогноз на 20.05.12'!$C$7:$C$83,$I13,'прогноз на 20.05.12'!AO$7:AO$83)+SUMIF('прогноз на 20.05.12'!$C$7:$C$83,$K13,'прогноз на 20.05.12'!AO$7:AO$83)</f>
        <v>136076.25</v>
      </c>
      <c r="AT13" s="41">
        <f>SUMIF('прогноз на 20.05.12'!$C$7:$C$83,$C13,'прогноз на 20.05.12'!AP$7:AP$83)+SUMIF('прогноз на 20.05.12'!$C$7:$C$83,$E13,'прогноз на 20.05.12'!AP$7:AP$83)+SUMIF('прогноз на 20.05.12'!$C$7:$C$83,$G13,'прогноз на 20.05.12'!AP$7:AP$83)+SUMIF('прогноз на 20.05.12'!$C$7:$C$83,$I13,'прогноз на 20.05.12'!AP$7:AP$83)+SUMIF('прогноз на 20.05.12'!$C$7:$C$83,$K13,'прогноз на 20.05.12'!AP$7:AP$83)</f>
        <v>1216540.5</v>
      </c>
      <c r="AU13" s="41">
        <f>SUMIF('прогноз на 20.05.12'!$C$7:$C$83,$C13,'прогноз на 20.05.12'!AU$7:AU$83)+SUMIF('прогноз на 20.05.12'!$C$7:$C$83,$E13,'прогноз на 20.05.12'!AU$7:AU$83)+SUMIF('прогноз на 20.05.12'!$C$7:$C$83,$G13,'прогноз на 20.05.12'!AU$7:AU$83)+SUMIF('прогноз на 20.05.12'!$C$7:$C$83,$I13,'прогноз на 20.05.12'!AU$7:AU$83)+SUMIF('прогноз на 20.05.12'!$C$7:$C$83,$K13,'прогноз на 20.05.12'!AU$7:AU$83)</f>
        <v>15180</v>
      </c>
      <c r="AV13" s="41">
        <f>SUMIF('прогноз на 20.05.12'!$C$7:$C$83,$C13,'прогноз на 20.05.12'!AV$7:AV$83)+SUMIF('прогноз на 20.05.12'!$C$7:$C$83,$E13,'прогноз на 20.05.12'!AV$7:AV$83)+SUMIF('прогноз на 20.05.12'!$C$7:$C$83,$G13,'прогноз на 20.05.12'!AV$7:AV$83)+SUMIF('прогноз на 20.05.12'!$C$7:$C$83,$I13,'прогноз на 20.05.12'!AV$7:AV$83)+SUMIF('прогноз на 20.05.12'!$C$7:$C$83,$K13,'прогноз на 20.05.12'!AV$7:AV$83)</f>
        <v>35664.75</v>
      </c>
      <c r="AW13" s="41">
        <f>SUMIF('прогноз на 20.05.12'!$C$7:$C$83,$C13,'прогноз на 20.05.12'!AW$7:AW$83)+SUMIF('прогноз на 20.05.12'!$C$7:$C$83,$E13,'прогноз на 20.05.12'!AW$7:AW$83)+SUMIF('прогноз на 20.05.12'!$C$7:$C$83,$G13,'прогноз на 20.05.12'!AW$7:AW$83)+SUMIF('прогноз на 20.05.12'!$C$7:$C$83,$I13,'прогноз на 20.05.12'!AW$7:AW$83)+SUMIF('прогноз на 20.05.12'!$C$7:$C$83,$K13,'прогноз на 20.05.12'!AW$7:AW$83)</f>
        <v>6851.25</v>
      </c>
      <c r="AX13" s="41">
        <f>SUMIF('прогноз на 20.05.12'!$C$7:$C$83,$C13,'прогноз на 20.05.12'!AX$7:AX$83)+SUMIF('прогноз на 20.05.12'!$C$7:$C$83,$E13,'прогноз на 20.05.12'!AX$7:AX$83)+SUMIF('прогноз на 20.05.12'!$C$7:$C$83,$G13,'прогноз на 20.05.12'!AX$7:AX$83)+SUMIF('прогноз на 20.05.12'!$C$7:$C$83,$I13,'прогноз на 20.05.12'!AX$7:AX$83)+SUMIF('прогноз на 20.05.12'!$C$7:$C$83,$K13,'прогноз на 20.05.12'!AX$7:AX$83)</f>
        <v>57696</v>
      </c>
      <c r="AY13" s="41">
        <f>SUMIF('прогноз на 20.05.12'!$C$7:$C$83,$C13,'прогноз на 20.05.12'!AY$7:AY$83)+SUMIF('прогноз на 20.05.12'!$C$7:$C$83,$E13,'прогноз на 20.05.12'!AY$7:AY$83)+SUMIF('прогноз на 20.05.12'!$C$7:$C$83,$G13,'прогноз на 20.05.12'!AY$7:AY$83)+SUMIF('прогноз на 20.05.12'!$C$7:$C$83,$I13,'прогноз на 20.05.12'!AY$7:AY$83)+SUMIF('прогноз на 20.05.12'!$C$7:$C$83,$K13,'прогноз на 20.05.12'!AY$7:AY$83)</f>
        <v>254664</v>
      </c>
      <c r="AZ13" s="41">
        <f>SUMIF('прогноз на 20.05.12'!$C$7:$C$83,$C13,'прогноз на 20.05.12'!AZ$7:AZ$83)+SUMIF('прогноз на 20.05.12'!$C$7:$C$83,$E13,'прогноз на 20.05.12'!AZ$7:AZ$83)+SUMIF('прогноз на 20.05.12'!$C$7:$C$83,$G13,'прогноз на 20.05.12'!AZ$7:AZ$83)+SUMIF('прогноз на 20.05.12'!$C$7:$C$83,$I13,'прогноз на 20.05.12'!AZ$7:AZ$83)+SUMIF('прогноз на 20.05.12'!$C$7:$C$83,$K13,'прогноз на 20.05.12'!AZ$7:AZ$83)</f>
        <v>876645</v>
      </c>
      <c r="BA13" s="41">
        <f>SUMIF('прогноз на 20.05.12'!$C$7:$C$83,$C13,'прогноз на 20.05.12'!BA$7:BA$83)+SUMIF('прогноз на 20.05.12'!$C$7:$C$83,$E13,'прогноз на 20.05.12'!BA$7:BA$83)+SUMIF('прогноз на 20.05.12'!$C$7:$C$83,$G13,'прогноз на 20.05.12'!BA$7:BA$83)+SUMIF('прогноз на 20.05.12'!$C$7:$C$83,$I13,'прогноз на 20.05.12'!BA$7:BA$83)+SUMIF('прогноз на 20.05.12'!$C$7:$C$83,$K13,'прогноз на 20.05.12'!BA$7:BA$83)</f>
        <v>142927.5</v>
      </c>
      <c r="BB13" s="41">
        <f>SUMIF('прогноз на 20.05.12'!$C$7:$C$83,$C13,'прогноз на 20.05.12'!BB$7:BB$83)+SUMIF('прогноз на 20.05.12'!$C$7:$C$83,$E13,'прогноз на 20.05.12'!BB$7:BB$83)+SUMIF('прогноз на 20.05.12'!$C$7:$C$83,$G13,'прогноз на 20.05.12'!BB$7:BB$83)+SUMIF('прогноз на 20.05.12'!$C$7:$C$83,$I13,'прогноз на 20.05.12'!BB$7:BB$83)+SUMIF('прогноз на 20.05.12'!$C$7:$C$83,$K13,'прогноз на 20.05.12'!BB$7:BB$83)</f>
        <v>1274236.5</v>
      </c>
      <c r="BC13" s="41">
        <f>SUMIF('прогноз на 20.05.12'!$C$7:$C$83,$C13,'прогноз на 20.05.12'!BC$7:BC$83)+SUMIF('прогноз на 20.05.12'!$C$7:$C$83,$E13,'прогноз на 20.05.12'!BC$7:BC$83)+SUMIF('прогноз на 20.05.12'!$C$7:$C$83,$G13,'прогноз на 20.05.12'!BC$7:BC$83)+SUMIF('прогноз на 20.05.12'!$C$7:$C$83,$I13,'прогноз на 20.05.12'!BC$7:BC$83)+SUMIF('прогноз на 20.05.12'!$C$7:$C$83,$K13,'прогноз на 20.05.12'!BC$7:BC$83)</f>
        <v>1750848</v>
      </c>
      <c r="BD13" s="41">
        <f>SUMIF('прогноз на 20.05.12'!$C$7:$C$83,$C13,'прогноз на 20.05.12'!BD$7:BD$83)+SUMIF('прогноз на 20.05.12'!$C$7:$C$83,$E13,'прогноз на 20.05.12'!BD$7:BD$83)+SUMIF('прогноз на 20.05.12'!$C$7:$C$83,$G13,'прогноз на 20.05.12'!BD$7:BD$83)+SUMIF('прогноз на 20.05.12'!$C$7:$C$83,$I13,'прогноз на 20.05.12'!BD$7:BD$83)+SUMIF('прогноз на 20.05.12'!$C$7:$C$83,$K13,'прогноз на 20.05.12'!BD$7:BD$83)</f>
        <v>1750848</v>
      </c>
      <c r="BE13" s="41">
        <f>SUMIF('прогноз на 20.05.12'!$C$7:$C$83,$C13,'прогноз на 20.05.12'!BE$7:BE$83)+SUMIF('прогноз на 20.05.12'!$C$7:$C$83,$E13,'прогноз на 20.05.12'!BE$7:BE$83)+SUMIF('прогноз на 20.05.12'!$C$7:$C$83,$G13,'прогноз на 20.05.12'!BE$7:BE$83)+SUMIF('прогноз на 20.05.12'!$C$7:$C$83,$I13,'прогноз на 20.05.12'!BE$7:BE$83)+SUMIF('прогноз на 20.05.12'!$C$7:$C$83,$K13,'прогноз на 20.05.12'!BE$7:BE$83)</f>
        <v>0</v>
      </c>
      <c r="BF13" s="41">
        <f>SUMIF('прогноз на 20.05.12'!$C$7:$C$83,$C13,'прогноз на 20.05.12'!BF$7:BF$83)+SUMIF('прогноз на 20.05.12'!$C$7:$C$83,$E13,'прогноз на 20.05.12'!BF$7:BF$83)+SUMIF('прогноз на 20.05.12'!$C$7:$C$83,$G13,'прогноз на 20.05.12'!BF$7:BF$83)+SUMIF('прогноз на 20.05.12'!$C$7:$C$83,$I13,'прогноз на 20.05.12'!BF$7:BF$83)+SUMIF('прогноз на 20.05.12'!$C$7:$C$83,$K13,'прогноз на 20.05.12'!BF$7:BF$83)</f>
        <v>476611.5</v>
      </c>
      <c r="BG13" s="41">
        <f>SUMIF('прогноз на 20.05.12'!$C$7:$C$83,$C13,'прогноз на 20.05.12'!BG$7:BG$83)+SUMIF('прогноз на 20.05.12'!$C$7:$C$83,$E13,'прогноз на 20.05.12'!BG$7:BG$83)+SUMIF('прогноз на 20.05.12'!$C$7:$C$83,$G13,'прогноз на 20.05.12'!BG$7:BG$83)+SUMIF('прогноз на 20.05.12'!$C$7:$C$83,$I13,'прогноз на 20.05.12'!BG$7:BG$83)+SUMIF('прогноз на 20.05.12'!$C$7:$C$83,$K13,'прогноз на 20.05.12'!BG$7:BG$83)</f>
        <v>476611.5</v>
      </c>
      <c r="BH13" s="41">
        <f>SUMIF('прогноз на 20.05.12'!$C$7:$C$83,$C13,'прогноз на 20.05.12'!BH$7:BH$83)+SUMIF('прогноз на 20.05.12'!$C$7:$C$83,$E13,'прогноз на 20.05.12'!BH$7:BH$83)+SUMIF('прогноз на 20.05.12'!$C$7:$C$83,$G13,'прогноз на 20.05.12'!BH$7:BH$83)+SUMIF('прогноз на 20.05.12'!$C$7:$C$83,$I13,'прогноз на 20.05.12'!BH$7:BH$83)+SUMIF('прогноз на 20.05.12'!$C$7:$C$83,$K13,'прогноз на 20.05.12'!BH$7:BH$83)</f>
        <v>0</v>
      </c>
      <c r="BI13" s="90">
        <f t="shared" si="10"/>
        <v>5.8</v>
      </c>
      <c r="BJ13" s="90">
        <f t="shared" si="11"/>
        <v>7.4</v>
      </c>
      <c r="BK13" s="90">
        <f t="shared" si="12"/>
        <v>11.5</v>
      </c>
      <c r="BL13" s="90">
        <f t="shared" si="13"/>
        <v>7.416666666666667</v>
      </c>
    </row>
    <row r="14" spans="1:64" s="59" customFormat="1" ht="18.75">
      <c r="A14" s="38">
        <v>8</v>
      </c>
      <c r="B14" s="39" t="s">
        <v>51</v>
      </c>
      <c r="C14" s="40" t="s">
        <v>206</v>
      </c>
      <c r="D14" s="58"/>
      <c r="E14" s="58"/>
      <c r="F14" s="58"/>
      <c r="G14" s="58"/>
      <c r="H14" s="58"/>
      <c r="I14" s="58"/>
      <c r="J14" s="58"/>
      <c r="K14" s="58"/>
      <c r="L14" s="41">
        <f>SUMIF('прогноз на 20.05.12'!$C$7:$C$83,$C14,'прогноз на 20.05.12'!D$7:D$83)+SUMIF('прогноз на 20.05.12'!$C$7:$C$83,$E14,'прогноз на 20.05.12'!D$7:D$83)+SUMIF('прогноз на 20.05.12'!$C$7:$C$83,$G14,'прогноз на 20.05.12'!D$7:D$83)+SUMIF('прогноз на 20.05.12'!$C$7:$C$83,$I14,'прогноз на 20.05.12'!D$7:D$83)+SUMIF('прогноз на 20.05.12'!$C$7:$C$83,$K14,'прогноз на 20.05.12'!D$7:D$83)</f>
        <v>85</v>
      </c>
      <c r="M14" s="41">
        <f>SUMIF('прогноз на 20.05.12'!$C$7:$C$83,$C14,'прогноз на 20.05.12'!E$7:E$83)+SUMIF('прогноз на 20.05.12'!$C$7:$C$83,$E14,'прогноз на 20.05.12'!E$7:E$83)+SUMIF('прогноз на 20.05.12'!$C$7:$C$83,$G14,'прогноз на 20.05.12'!E$7:E$83)+SUMIF('прогноз на 20.05.12'!$C$7:$C$83,$I14,'прогноз на 20.05.12'!E$7:E$83)+SUMIF('прогноз на 20.05.12'!$C$7:$C$83,$K14,'прогноз на 20.05.12'!E$7:E$83)</f>
        <v>128</v>
      </c>
      <c r="N14" s="41">
        <f>SUMIF('прогноз на 20.05.12'!$C$7:$C$83,$C14,'прогноз на 20.05.12'!F$7:F$83)+SUMIF('прогноз на 20.05.12'!$C$7:$C$83,$E14,'прогноз на 20.05.12'!F$7:F$83)+SUMIF('прогноз на 20.05.12'!$C$7:$C$83,$G14,'прогноз на 20.05.12'!F$7:F$83)+SUMIF('прогноз на 20.05.12'!$C$7:$C$83,$I14,'прогноз на 20.05.12'!F$7:F$83)+SUMIF('прогноз на 20.05.12'!$C$7:$C$83,$K14,'прогноз на 20.05.12'!F$7:F$83)</f>
        <v>90</v>
      </c>
      <c r="O14" s="44">
        <f t="shared" si="6"/>
        <v>303</v>
      </c>
      <c r="P14" s="41">
        <f>SUMIF('прогноз на 20.05.12'!$C$7:$C$83,$C14,'прогноз на 20.05.12'!H$7:H$83)+SUMIF('прогноз на 20.05.12'!$C$7:$C$83,$E14,'прогноз на 20.05.12'!H$7:H$83)+SUMIF('прогноз на 20.05.12'!$C$7:$C$83,$G14,'прогноз на 20.05.12'!H$7:H$83)+SUMIF('прогноз на 20.05.12'!$C$7:$C$83,$I14,'прогноз на 20.05.12'!H$7:H$83)+SUMIF('прогноз на 20.05.12'!$C$7:$C$83,$K14,'прогноз на 20.05.12'!H$7:H$83)</f>
        <v>5</v>
      </c>
      <c r="Q14" s="41">
        <f>SUMIF('прогноз на 20.05.12'!$C$7:$C$83,$C14,'прогноз на 20.05.12'!I$7:I$83)+SUMIF('прогноз на 20.05.12'!$C$7:$C$83,$E14,'прогноз на 20.05.12'!I$7:I$83)+SUMIF('прогноз на 20.05.12'!$C$7:$C$83,$G14,'прогноз на 20.05.12'!I$7:I$83)+SUMIF('прогноз на 20.05.12'!$C$7:$C$83,$I14,'прогноз на 20.05.12'!I$7:I$83)+SUMIF('прогноз на 20.05.12'!$C$7:$C$83,$K14,'прогноз на 20.05.12'!I$7:I$83)</f>
        <v>6</v>
      </c>
      <c r="R14" s="41">
        <f>SUMIF('прогноз на 20.05.12'!$C$7:$C$83,$C14,'прогноз на 20.05.12'!J$7:J$83)+SUMIF('прогноз на 20.05.12'!$C$7:$C$83,$E14,'прогноз на 20.05.12'!J$7:J$83)+SUMIF('прогноз на 20.05.12'!$C$7:$C$83,$G14,'прогноз на 20.05.12'!J$7:J$83)+SUMIF('прогноз на 20.05.12'!$C$7:$C$83,$I14,'прогноз на 20.05.12'!J$7:J$83)+SUMIF('прогноз на 20.05.12'!$C$7:$C$83,$K14,'прогноз на 20.05.12'!J$7:J$83)</f>
        <v>4</v>
      </c>
      <c r="S14" s="45">
        <f t="shared" si="7"/>
        <v>15</v>
      </c>
      <c r="T14" s="41">
        <f>SUMIF('прогноз на 20.05.12'!$C$7:$C$83,$C14,'прогноз на 20.05.12'!L$7:L$83)+SUMIF('прогноз на 20.05.12'!$C$7:$C$83,$E14,'прогноз на 20.05.12'!L$7:L$83)+SUMIF('прогноз на 20.05.12'!$C$7:$C$83,$G14,'прогноз на 20.05.12'!L$7:L$83)+SUMIF('прогноз на 20.05.12'!$C$7:$C$83,$I14,'прогноз на 20.05.12'!L$7:L$83)+SUMIF('прогноз на 20.05.12'!$C$7:$C$83,$K14,'прогноз на 20.05.12'!L$7:L$83)</f>
        <v>1</v>
      </c>
      <c r="U14" s="41">
        <f>SUMIF('прогноз на 20.05.12'!$C$7:$C$83,$C14,'прогноз на 20.05.12'!M$7:M$83)+SUMIF('прогноз на 20.05.12'!$C$7:$C$83,$E14,'прогноз на 20.05.12'!M$7:M$83)+SUMIF('прогноз на 20.05.12'!$C$7:$C$83,$G14,'прогноз на 20.05.12'!M$7:M$83)+SUMIF('прогноз на 20.05.12'!$C$7:$C$83,$I14,'прогноз на 20.05.12'!M$7:M$83)+SUMIF('прогноз на 20.05.12'!$C$7:$C$83,$K14,'прогноз на 20.05.12'!M$7:M$83)</f>
        <v>2</v>
      </c>
      <c r="V14" s="41">
        <f>SUMIF('прогноз на 20.05.12'!$C$7:$C$83,$C14,'прогноз на 20.05.12'!N$7:N$83)+SUMIF('прогноз на 20.05.12'!$C$7:$C$83,$E14,'прогноз на 20.05.12'!N$7:N$83)+SUMIF('прогноз на 20.05.12'!$C$7:$C$83,$G14,'прогноз на 20.05.12'!N$7:N$83)+SUMIF('прогноз на 20.05.12'!$C$7:$C$83,$I14,'прогноз на 20.05.12'!N$7:N$83)+SUMIF('прогноз на 20.05.12'!$C$7:$C$83,$K14,'прогноз на 20.05.12'!N$7:N$83)</f>
        <v>0</v>
      </c>
      <c r="W14" s="45">
        <f t="shared" si="8"/>
        <v>3</v>
      </c>
      <c r="X14" s="41">
        <f>SUMIF('прогноз на 20.05.12'!$C$7:$C$83,$C14,'прогноз на 20.05.12'!P$7:P$83)+SUMIF('прогноз на 20.05.12'!$C$7:$C$83,$E14,'прогноз на 20.05.12'!P$7:P$83)+SUMIF('прогноз на 20.05.12'!$C$7:$C$83,$G14,'прогноз на 20.05.12'!P$7:P$83)+SUMIF('прогноз на 20.05.12'!$C$7:$C$83,$I14,'прогноз на 20.05.12'!P$7:P$83)+SUMIF('прогноз на 20.05.12'!$C$7:$C$83,$K14,'прогноз на 20.05.12'!P$7:P$83)</f>
        <v>4</v>
      </c>
      <c r="Y14" s="41">
        <f>SUMIF('прогноз на 20.05.12'!$C$7:$C$83,$C14,'прогноз на 20.05.12'!Q$7:Q$83)+SUMIF('прогноз на 20.05.12'!$C$7:$C$83,$E14,'прогноз на 20.05.12'!Q$7:Q$83)+SUMIF('прогноз на 20.05.12'!$C$7:$C$83,$G14,'прогноз на 20.05.12'!Q$7:Q$83)+SUMIF('прогноз на 20.05.12'!$C$7:$C$83,$I14,'прогноз на 20.05.12'!Q$7:Q$83)+SUMIF('прогноз на 20.05.12'!$C$7:$C$83,$K14,'прогноз на 20.05.12'!Q$7:Q$83)</f>
        <v>100</v>
      </c>
      <c r="Z14" s="41">
        <f>SUMIF('прогноз на 20.05.12'!$C$7:$C$83,$C14,'прогноз на 20.05.12'!R$7:R$83)+SUMIF('прогноз на 20.05.12'!$C$7:$C$83,$E14,'прогноз на 20.05.12'!R$7:R$83)+SUMIF('прогноз на 20.05.12'!$C$7:$C$83,$G14,'прогноз на 20.05.12'!R$7:R$83)+SUMIF('прогноз на 20.05.12'!$C$7:$C$83,$I14,'прогноз на 20.05.12'!R$7:R$83)+SUMIF('прогноз на 20.05.12'!$C$7:$C$83,$K14,'прогноз на 20.05.12'!R$7:R$83)</f>
        <v>0</v>
      </c>
      <c r="AA14" s="41">
        <f>SUMIF('прогноз на 20.05.12'!$C$7:$C$83,$C14,'прогноз на 20.05.12'!S$7:S$83)+SUMIF('прогноз на 20.05.12'!$C$7:$C$83,$E14,'прогноз на 20.05.12'!S$7:S$83)+SUMIF('прогноз на 20.05.12'!$C$7:$C$83,$G14,'прогноз на 20.05.12'!S$7:S$83)+SUMIF('прогноз на 20.05.12'!$C$7:$C$83,$I14,'прогноз на 20.05.12'!S$7:S$83)+SUMIF('прогноз на 20.05.12'!$C$7:$C$83,$K14,'прогноз на 20.05.12'!S$7:S$83)</f>
        <v>125</v>
      </c>
      <c r="AB14" s="41">
        <f>SUMIF('прогноз на 20.05.12'!$C$7:$C$83,$C14,'прогноз на 20.05.12'!T$7:T$83)+SUMIF('прогноз на 20.05.12'!$C$7:$C$83,$E14,'прогноз на 20.05.12'!T$7:T$83)+SUMIF('прогноз на 20.05.12'!$C$7:$C$83,$G14,'прогноз на 20.05.12'!T$7:T$83)+SUMIF('прогноз на 20.05.12'!$C$7:$C$83,$I14,'прогноз на 20.05.12'!T$7:T$83)+SUMIF('прогноз на 20.05.12'!$C$7:$C$83,$K14,'прогноз на 20.05.12'!T$7:T$83)</f>
        <v>150</v>
      </c>
      <c r="AC14" s="41">
        <f>SUMIF('прогноз на 20.05.12'!$C$7:$C$83,$C14,'прогноз на 20.05.12'!U$7:U$83)+SUMIF('прогноз на 20.05.12'!$C$7:$C$83,$E14,'прогноз на 20.05.12'!U$7:U$83)+SUMIF('прогноз на 20.05.12'!$C$7:$C$83,$G14,'прогноз на 20.05.12'!U$7:U$83)+SUMIF('прогноз на 20.05.12'!$C$7:$C$83,$I14,'прогноз на 20.05.12'!U$7:U$83)+SUMIF('прогноз на 20.05.12'!$C$7:$C$83,$K14,'прогноз на 20.05.12'!U$7:U$83)</f>
        <v>100</v>
      </c>
      <c r="AD14" s="41">
        <f>SUMIF('прогноз на 20.05.12'!$C$7:$C$83,$C14,'прогноз на 20.05.12'!V$7:V$83)+SUMIF('прогноз на 20.05.12'!$C$7:$C$83,$E14,'прогноз на 20.05.12'!V$7:V$83)+SUMIF('прогноз на 20.05.12'!$C$7:$C$83,$G14,'прогноз на 20.05.12'!V$7:V$83)+SUMIF('прогноз на 20.05.12'!$C$7:$C$83,$I14,'прогноз на 20.05.12'!V$7:V$83)+SUMIF('прогноз на 20.05.12'!$C$7:$C$83,$K14,'прогноз на 20.05.12'!V$7:V$83)</f>
        <v>375</v>
      </c>
      <c r="AE14" s="41">
        <f>SUMIF('прогноз на 20.05.12'!$C$7:$C$83,$C14,'прогноз на 20.05.12'!W$7:W$83)+SUMIF('прогноз на 20.05.12'!$C$7:$C$83,$E14,'прогноз на 20.05.12'!W$7:W$83)+SUMIF('прогноз на 20.05.12'!$C$7:$C$83,$G14,'прогноз на 20.05.12'!W$7:W$83)+SUMIF('прогноз на 20.05.12'!$C$7:$C$83,$I14,'прогноз на 20.05.12'!W$7:W$83)+SUMIF('прогноз на 20.05.12'!$C$7:$C$83,$K14,'прогноз на 20.05.12'!W$7:W$83)</f>
        <v>40</v>
      </c>
      <c r="AF14" s="41">
        <f>SUMIF('прогноз на 20.05.12'!$C$7:$C$83,$C14,'прогноз на 20.05.12'!X$7:X$83)+SUMIF('прогноз на 20.05.12'!$C$7:$C$83,$E14,'прогноз на 20.05.12'!X$7:X$83)+SUMIF('прогноз на 20.05.12'!$C$7:$C$83,$G14,'прогноз на 20.05.12'!X$7:X$83)+SUMIF('прогноз на 20.05.12'!$C$7:$C$83,$I14,'прогноз на 20.05.12'!X$7:X$83)+SUMIF('прогноз на 20.05.12'!$C$7:$C$83,$K14,'прогноз на 20.05.12'!X$7:X$83)</f>
        <v>22</v>
      </c>
      <c r="AG14" s="41">
        <f>SUMIF('прогноз на 20.05.12'!$C$7:$C$83,$C14,'прогноз на 20.05.12'!Y$7:Y$83)+SUMIF('прогноз на 20.05.12'!$C$7:$C$83,$E14,'прогноз на 20.05.12'!Y$7:Y$83)+SUMIF('прогноз на 20.05.12'!$C$7:$C$83,$G14,'прогноз на 20.05.12'!Y$7:Y$83)+SUMIF('прогноз на 20.05.12'!$C$7:$C$83,$I14,'прогноз на 20.05.12'!Y$7:Y$83)+SUMIF('прогноз на 20.05.12'!$C$7:$C$83,$K14,'прогноз на 20.05.12'!Y$7:Y$83)</f>
        <v>10</v>
      </c>
      <c r="AH14" s="41">
        <f>SUMIF('прогноз на 20.05.12'!$C$7:$C$83,$C14,'прогноз на 20.05.12'!Z$7:Z$83)+SUMIF('прогноз на 20.05.12'!$C$7:$C$83,$E14,'прогноз на 20.05.12'!Z$7:Z$83)+SUMIF('прогноз на 20.05.12'!$C$7:$C$83,$G14,'прогноз на 20.05.12'!Z$7:Z$83)+SUMIF('прогноз на 20.05.12'!$C$7:$C$83,$I14,'прогноз на 20.05.12'!Z$7:Z$83)+SUMIF('прогноз на 20.05.12'!$C$7:$C$83,$K14,'прогноз на 20.05.12'!Z$7:Z$83)</f>
        <v>72</v>
      </c>
      <c r="AI14" s="41">
        <f>SUMIF('прогноз на 20.05.12'!$C$7:$C$83,$C14,'прогноз на 20.05.12'!AA$7:AA$83)+SUMIF('прогноз на 20.05.12'!$C$7:$C$83,$E14,'прогноз на 20.05.12'!AA$7:AA$83)+SUMIF('прогноз на 20.05.12'!$C$7:$C$83,$G14,'прогноз на 20.05.12'!AA$7:AA$83)+SUMIF('прогноз на 20.05.12'!$C$7:$C$83,$I14,'прогноз на 20.05.12'!AA$7:AA$83)+SUMIF('прогноз на 20.05.12'!$C$7:$C$83,$K14,'прогноз на 20.05.12'!AA$7:AA$83)</f>
        <v>30</v>
      </c>
      <c r="AJ14" s="41">
        <f>SUMIF('прогноз на 20.05.12'!$C$7:$C$83,$C14,'прогноз на 20.05.12'!AB$7:AB$83)+SUMIF('прогноз на 20.05.12'!$C$7:$C$83,$E14,'прогноз на 20.05.12'!AB$7:AB$83)+SUMIF('прогноз на 20.05.12'!$C$7:$C$83,$G14,'прогноз на 20.05.12'!AB$7:AB$83)+SUMIF('прогноз на 20.05.12'!$C$7:$C$83,$I14,'прогноз на 20.05.12'!AB$7:AB$83)+SUMIF('прогноз на 20.05.12'!$C$7:$C$83,$K14,'прогноз на 20.05.12'!AB$7:AB$83)</f>
        <v>14.025</v>
      </c>
      <c r="AK14" s="41">
        <f>SUMIF('прогноз на 20.05.12'!$C$7:$C$83,$C14,'прогноз на 20.05.12'!AC$7:AC$83)+SUMIF('прогноз на 20.05.12'!$C$7:$C$83,$E14,'прогноз на 20.05.12'!AC$7:AC$83)+SUMIF('прогноз на 20.05.12'!$C$7:$C$83,$G14,'прогноз на 20.05.12'!AC$7:AC$83)+SUMIF('прогноз на 20.05.12'!$C$7:$C$83,$I14,'прогноз на 20.05.12'!AC$7:AC$83)+SUMIF('прогноз на 20.05.12'!$C$7:$C$83,$K14,'прогноз на 20.05.12'!AC$7:AC$83)</f>
        <v>6.375</v>
      </c>
      <c r="AL14" s="41">
        <f>SUMIF('прогноз на 20.05.12'!$C$7:$C$83,$C14,'прогноз на 20.05.12'!AD$7:AD$83)+SUMIF('прогноз на 20.05.12'!$C$7:$C$83,$E14,'прогноз на 20.05.12'!AD$7:AD$83)+SUMIF('прогноз на 20.05.12'!$C$7:$C$83,$G14,'прогноз на 20.05.12'!AD$7:AD$83)+SUMIF('прогноз на 20.05.12'!$C$7:$C$83,$I14,'прогноз на 20.05.12'!AD$7:AD$83)+SUMIF('прогноз на 20.05.12'!$C$7:$C$83,$K14,'прогноз на 20.05.12'!AD$7:AD$83)</f>
        <v>50.4</v>
      </c>
      <c r="AM14" s="41">
        <f>SUMIF('прогноз на 20.05.12'!$C$7:$C$83,$C14,'прогноз на 20.05.12'!AE$7:AE$83)+SUMIF('прогноз на 20.05.12'!$C$7:$C$83,$E14,'прогноз на 20.05.12'!AE$7:AE$83)+SUMIF('прогноз на 20.05.12'!$C$7:$C$83,$G14,'прогноз на 20.05.12'!AE$7:AE$83)+SUMIF('прогноз на 20.05.12'!$C$7:$C$83,$I14,'прогноз на 20.05.12'!AE$7:AE$83)+SUMIF('прогноз на 20.05.12'!$C$7:$C$83,$K14,'прогноз на 20.05.12'!AE$7:AE$83)</f>
        <v>115</v>
      </c>
      <c r="AN14" s="41">
        <f>SUMIF('прогноз на 20.05.12'!$C$7:$C$83,$C14,'прогноз на 20.05.12'!AF$7:AF$83)+SUMIF('прогноз на 20.05.12'!$C$7:$C$83,$E14,'прогноз на 20.05.12'!AF$7:AF$83)+SUMIF('прогноз на 20.05.12'!$C$7:$C$83,$G14,'прогноз на 20.05.12'!AF$7:AF$83)+SUMIF('прогноз на 20.05.12'!$C$7:$C$83,$I14,'прогноз на 20.05.12'!AF$7:AF$83)+SUMIF('прогноз на 20.05.12'!$C$7:$C$83,$K14,'прогноз на 20.05.12'!AF$7:AF$83)</f>
        <v>142.02500000000001</v>
      </c>
      <c r="AO14" s="41">
        <f>SUMIF('прогноз на 20.05.12'!$C$7:$C$83,$C14,'прогноз на 20.05.12'!AG$7:AG$83)+SUMIF('прогноз на 20.05.12'!$C$7:$C$83,$E14,'прогноз на 20.05.12'!AG$7:AG$83)+SUMIF('прогноз на 20.05.12'!$C$7:$C$83,$G14,'прогноз на 20.05.12'!AG$7:AG$83)+SUMIF('прогноз на 20.05.12'!$C$7:$C$83,$I14,'прогноз на 20.05.12'!AG$7:AG$83)+SUMIF('прогноз на 20.05.12'!$C$7:$C$83,$K14,'прогноз на 20.05.12'!AG$7:AG$83)</f>
        <v>96.375</v>
      </c>
      <c r="AP14" s="41">
        <f>SUMIF('прогноз на 20.05.12'!$C$7:$C$83,$C14,'прогноз на 20.05.12'!AH$7:AH$83)+SUMIF('прогноз на 20.05.12'!$C$7:$C$83,$E14,'прогноз на 20.05.12'!AH$7:AH$83)+SUMIF('прогноз на 20.05.12'!$C$7:$C$83,$G14,'прогноз на 20.05.12'!AH$7:AH$83)+SUMIF('прогноз на 20.05.12'!$C$7:$C$83,$I14,'прогноз на 20.05.12'!AH$7:AH$83)+SUMIF('прогноз на 20.05.12'!$C$7:$C$83,$K14,'прогноз на 20.05.12'!AH$7:AH$83)</f>
        <v>353.4</v>
      </c>
      <c r="AQ14" s="41">
        <f>SUMIF('прогноз на 20.05.12'!$C$7:$C$83,$C14,'прогноз на 20.05.12'!AM$7:AM$83)+SUMIF('прогноз на 20.05.12'!$C$7:$C$83,$E14,'прогноз на 20.05.12'!AM$7:AM$83)+SUMIF('прогноз на 20.05.12'!$C$7:$C$83,$G14,'прогноз на 20.05.12'!AM$7:AM$83)+SUMIF('прогноз на 20.05.12'!$C$7:$C$83,$I14,'прогноз на 20.05.12'!AM$7:AM$83)+SUMIF('прогноз на 20.05.12'!$C$7:$C$83,$K14,'прогноз на 20.05.12'!AM$7:AM$83)</f>
        <v>395820</v>
      </c>
      <c r="AR14" s="41">
        <f>SUMIF('прогноз на 20.05.12'!$C$7:$C$83,$C14,'прогноз на 20.05.12'!AN$7:AN$83)+SUMIF('прогноз на 20.05.12'!$C$7:$C$83,$E14,'прогноз на 20.05.12'!AN$7:AN$83)+SUMIF('прогноз на 20.05.12'!$C$7:$C$83,$G14,'прогноз на 20.05.12'!AN$7:AN$83)+SUMIF('прогноз на 20.05.12'!$C$7:$C$83,$I14,'прогноз на 20.05.12'!AN$7:AN$83)+SUMIF('прогноз на 20.05.12'!$C$7:$C$83,$K14,'прогноз на 20.05.12'!AN$7:AN$83)</f>
        <v>457719.9</v>
      </c>
      <c r="AS14" s="41">
        <f>SUMIF('прогноз на 20.05.12'!$C$7:$C$83,$C14,'прогноз на 20.05.12'!AO$7:AO$83)+SUMIF('прогноз на 20.05.12'!$C$7:$C$83,$E14,'прогноз на 20.05.12'!AO$7:AO$83)+SUMIF('прогноз на 20.05.12'!$C$7:$C$83,$G14,'прогноз на 20.05.12'!AO$7:AO$83)+SUMIF('прогноз на 20.05.12'!$C$7:$C$83,$I14,'прогноз на 20.05.12'!AO$7:AO$83)+SUMIF('прогноз на 20.05.12'!$C$7:$C$83,$K14,'прогноз на 20.05.12'!AO$7:AO$83)</f>
        <v>240114.375</v>
      </c>
      <c r="AT14" s="41">
        <f>SUMIF('прогноз на 20.05.12'!$C$7:$C$83,$C14,'прогноз на 20.05.12'!AP$7:AP$83)+SUMIF('прогноз на 20.05.12'!$C$7:$C$83,$E14,'прогноз на 20.05.12'!AP$7:AP$83)+SUMIF('прогноз на 20.05.12'!$C$7:$C$83,$G14,'прогноз на 20.05.12'!AP$7:AP$83)+SUMIF('прогноз на 20.05.12'!$C$7:$C$83,$I14,'прогноз на 20.05.12'!AP$7:AP$83)+SUMIF('прогноз на 20.05.12'!$C$7:$C$83,$K14,'прогноз на 20.05.12'!AP$7:AP$83)</f>
        <v>1093654.2749999999</v>
      </c>
      <c r="AU14" s="41">
        <f>SUMIF('прогноз на 20.05.12'!$C$7:$C$83,$C14,'прогноз на 20.05.12'!AU$7:AU$83)+SUMIF('прогноз на 20.05.12'!$C$7:$C$83,$E14,'прогноз на 20.05.12'!AU$7:AU$83)+SUMIF('прогноз на 20.05.12'!$C$7:$C$83,$G14,'прогноз на 20.05.12'!AU$7:AU$83)+SUMIF('прогноз на 20.05.12'!$C$7:$C$83,$I14,'прогноз на 20.05.12'!AU$7:AU$83)+SUMIF('прогноз на 20.05.12'!$C$7:$C$83,$K14,'прогноз на 20.05.12'!AU$7:AU$83)</f>
        <v>25260</v>
      </c>
      <c r="AV14" s="41">
        <f>SUMIF('прогноз на 20.05.12'!$C$7:$C$83,$C14,'прогноз на 20.05.12'!AV$7:AV$83)+SUMIF('прогноз на 20.05.12'!$C$7:$C$83,$E14,'прогноз на 20.05.12'!AV$7:AV$83)+SUMIF('прогноз на 20.05.12'!$C$7:$C$83,$G14,'прогноз на 20.05.12'!AV$7:AV$83)+SUMIF('прогноз на 20.05.12'!$C$7:$C$83,$I14,'прогноз на 20.05.12'!AV$7:AV$83)+SUMIF('прогноз на 20.05.12'!$C$7:$C$83,$K14,'прогноз на 20.05.12'!AV$7:AV$83)</f>
        <v>12846.9</v>
      </c>
      <c r="AW14" s="41">
        <f>SUMIF('прогноз на 20.05.12'!$C$7:$C$83,$C14,'прогноз на 20.05.12'!AW$7:AW$83)+SUMIF('прогноз на 20.05.12'!$C$7:$C$83,$E14,'прогноз на 20.05.12'!AW$7:AW$83)+SUMIF('прогноз на 20.05.12'!$C$7:$C$83,$G14,'прогноз на 20.05.12'!AW$7:AW$83)+SUMIF('прогноз на 20.05.12'!$C$7:$C$83,$I14,'прогноз на 20.05.12'!AW$7:AW$83)+SUMIF('прогноз на 20.05.12'!$C$7:$C$83,$K14,'прогноз на 20.05.12'!AW$7:AW$83)</f>
        <v>7127.25</v>
      </c>
      <c r="AX14" s="41">
        <f>SUMIF('прогноз на 20.05.12'!$C$7:$C$83,$C14,'прогноз на 20.05.12'!AX$7:AX$83)+SUMIF('прогноз на 20.05.12'!$C$7:$C$83,$E14,'прогноз на 20.05.12'!AX$7:AX$83)+SUMIF('прогноз на 20.05.12'!$C$7:$C$83,$G14,'прогноз на 20.05.12'!AX$7:AX$83)+SUMIF('прогноз на 20.05.12'!$C$7:$C$83,$I14,'прогноз на 20.05.12'!AX$7:AX$83)+SUMIF('прогноз на 20.05.12'!$C$7:$C$83,$K14,'прогноз на 20.05.12'!AX$7:AX$83)</f>
        <v>45234.15</v>
      </c>
      <c r="AY14" s="41">
        <f>SUMIF('прогноз на 20.05.12'!$C$7:$C$83,$C14,'прогноз на 20.05.12'!AY$7:AY$83)+SUMIF('прогноз на 20.05.12'!$C$7:$C$83,$E14,'прогноз на 20.05.12'!AY$7:AY$83)+SUMIF('прогноз на 20.05.12'!$C$7:$C$83,$G14,'прогноз на 20.05.12'!AY$7:AY$83)+SUMIF('прогноз на 20.05.12'!$C$7:$C$83,$I14,'прогноз на 20.05.12'!AY$7:AY$83)+SUMIF('прогноз на 20.05.12'!$C$7:$C$83,$K14,'прогноз на 20.05.12'!AY$7:AY$83)</f>
        <v>421080</v>
      </c>
      <c r="AZ14" s="41">
        <f>SUMIF('прогноз на 20.05.12'!$C$7:$C$83,$C14,'прогноз на 20.05.12'!AZ$7:AZ$83)+SUMIF('прогноз на 20.05.12'!$C$7:$C$83,$E14,'прогноз на 20.05.12'!AZ$7:AZ$83)+SUMIF('прогноз на 20.05.12'!$C$7:$C$83,$G14,'прогноз на 20.05.12'!AZ$7:AZ$83)+SUMIF('прогноз на 20.05.12'!$C$7:$C$83,$I14,'прогноз на 20.05.12'!AZ$7:AZ$83)+SUMIF('прогноз на 20.05.12'!$C$7:$C$83,$K14,'прогноз на 20.05.12'!AZ$7:AZ$83)</f>
        <v>470566.80000000005</v>
      </c>
      <c r="BA14" s="41">
        <f>SUMIF('прогноз на 20.05.12'!$C$7:$C$83,$C14,'прогноз на 20.05.12'!BA$7:BA$83)+SUMIF('прогноз на 20.05.12'!$C$7:$C$83,$E14,'прогноз на 20.05.12'!BA$7:BA$83)+SUMIF('прогноз на 20.05.12'!$C$7:$C$83,$G14,'прогноз на 20.05.12'!BA$7:BA$83)+SUMIF('прогноз на 20.05.12'!$C$7:$C$83,$I14,'прогноз на 20.05.12'!BA$7:BA$83)+SUMIF('прогноз на 20.05.12'!$C$7:$C$83,$K14,'прогноз на 20.05.12'!BA$7:BA$83)</f>
        <v>247241.625</v>
      </c>
      <c r="BB14" s="41">
        <f>SUMIF('прогноз на 20.05.12'!$C$7:$C$83,$C14,'прогноз на 20.05.12'!BB$7:BB$83)+SUMIF('прогноз на 20.05.12'!$C$7:$C$83,$E14,'прогноз на 20.05.12'!BB$7:BB$83)+SUMIF('прогноз на 20.05.12'!$C$7:$C$83,$G14,'прогноз на 20.05.12'!BB$7:BB$83)+SUMIF('прогноз на 20.05.12'!$C$7:$C$83,$I14,'прогноз на 20.05.12'!BB$7:BB$83)+SUMIF('прогноз на 20.05.12'!$C$7:$C$83,$K14,'прогноз на 20.05.12'!BB$7:BB$83)</f>
        <v>1138888.425</v>
      </c>
      <c r="BC14" s="41">
        <f>SUMIF('прогноз на 20.05.12'!$C$7:$C$83,$C14,'прогноз на 20.05.12'!BC$7:BC$83)+SUMIF('прогноз на 20.05.12'!$C$7:$C$83,$E14,'прогноз на 20.05.12'!BC$7:BC$83)+SUMIF('прогноз на 20.05.12'!$C$7:$C$83,$G14,'прогноз на 20.05.12'!BC$7:BC$83)+SUMIF('прогноз на 20.05.12'!$C$7:$C$83,$I14,'прогноз на 20.05.12'!BC$7:BC$83)+SUMIF('прогноз на 20.05.12'!$C$7:$C$83,$K14,'прогноз на 20.05.12'!BC$7:BC$83)</f>
        <v>-122654</v>
      </c>
      <c r="BD14" s="41">
        <f>SUMIF('прогноз на 20.05.12'!$C$7:$C$83,$C14,'прогноз на 20.05.12'!BD$7:BD$83)+SUMIF('прогноз на 20.05.12'!$C$7:$C$83,$E14,'прогноз на 20.05.12'!BD$7:BD$83)+SUMIF('прогноз на 20.05.12'!$C$7:$C$83,$G14,'прогноз на 20.05.12'!BD$7:BD$83)+SUMIF('прогноз на 20.05.12'!$C$7:$C$83,$I14,'прогноз на 20.05.12'!BD$7:BD$83)+SUMIF('прогноз на 20.05.12'!$C$7:$C$83,$K14,'прогноз на 20.05.12'!BD$7:BD$83)</f>
        <v>0</v>
      </c>
      <c r="BE14" s="41">
        <f>SUMIF('прогноз на 20.05.12'!$C$7:$C$83,$C14,'прогноз на 20.05.12'!BE$7:BE$83)+SUMIF('прогноз на 20.05.12'!$C$7:$C$83,$E14,'прогноз на 20.05.12'!BE$7:BE$83)+SUMIF('прогноз на 20.05.12'!$C$7:$C$83,$G14,'прогноз на 20.05.12'!BE$7:BE$83)+SUMIF('прогноз на 20.05.12'!$C$7:$C$83,$I14,'прогноз на 20.05.12'!BE$7:BE$83)+SUMIF('прогноз на 20.05.12'!$C$7:$C$83,$K14,'прогноз на 20.05.12'!BE$7:BE$83)</f>
        <v>-122654</v>
      </c>
      <c r="BF14" s="41">
        <f>SUMIF('прогноз на 20.05.12'!$C$7:$C$83,$C14,'прогноз на 20.05.12'!BF$7:BF$83)+SUMIF('прогноз на 20.05.12'!$C$7:$C$83,$E14,'прогноз на 20.05.12'!BF$7:BF$83)+SUMIF('прогноз на 20.05.12'!$C$7:$C$83,$G14,'прогноз на 20.05.12'!BF$7:BF$83)+SUMIF('прогноз на 20.05.12'!$C$7:$C$83,$I14,'прогноз на 20.05.12'!BF$7:BF$83)+SUMIF('прогноз на 20.05.12'!$C$7:$C$83,$K14,'прогноз на 20.05.12'!BF$7:BF$83)</f>
        <v>-1261542.425</v>
      </c>
      <c r="BG14" s="41">
        <f>SUMIF('прогноз на 20.05.12'!$C$7:$C$83,$C14,'прогноз на 20.05.12'!BG$7:BG$83)+SUMIF('прогноз на 20.05.12'!$C$7:$C$83,$E14,'прогноз на 20.05.12'!BG$7:BG$83)+SUMIF('прогноз на 20.05.12'!$C$7:$C$83,$G14,'прогноз на 20.05.12'!BG$7:BG$83)+SUMIF('прогноз на 20.05.12'!$C$7:$C$83,$I14,'прогноз на 20.05.12'!BG$7:BG$83)+SUMIF('прогноз на 20.05.12'!$C$7:$C$83,$K14,'прогноз на 20.05.12'!BG$7:BG$83)</f>
        <v>0</v>
      </c>
      <c r="BH14" s="41">
        <f>SUMIF('прогноз на 20.05.12'!$C$7:$C$83,$C14,'прогноз на 20.05.12'!BH$7:BH$83)+SUMIF('прогноз на 20.05.12'!$C$7:$C$83,$E14,'прогноз на 20.05.12'!BH$7:BH$83)+SUMIF('прогноз на 20.05.12'!$C$7:$C$83,$G14,'прогноз на 20.05.12'!BH$7:BH$83)+SUMIF('прогноз на 20.05.12'!$C$7:$C$83,$I14,'прогноз на 20.05.12'!BH$7:BH$83)+SUMIF('прогноз на 20.05.12'!$C$7:$C$83,$K14,'прогноз на 20.05.12'!BH$7:BH$83)</f>
        <v>-1261542.425</v>
      </c>
      <c r="BI14" s="90">
        <f t="shared" si="10"/>
        <v>17</v>
      </c>
      <c r="BJ14" s="90">
        <f t="shared" si="11"/>
        <v>21.333333333333332</v>
      </c>
      <c r="BK14" s="90">
        <f t="shared" si="12"/>
        <v>22.5</v>
      </c>
      <c r="BL14" s="90">
        <f t="shared" si="13"/>
        <v>20.2</v>
      </c>
    </row>
    <row r="15" spans="1:64" s="59" customFormat="1" ht="18.75">
      <c r="A15" s="38">
        <v>9</v>
      </c>
      <c r="B15" s="39" t="s">
        <v>52</v>
      </c>
      <c r="C15" s="40" t="s">
        <v>207</v>
      </c>
      <c r="D15" s="58"/>
      <c r="E15" s="58"/>
      <c r="F15" s="58"/>
      <c r="G15" s="58"/>
      <c r="H15" s="58"/>
      <c r="I15" s="58"/>
      <c r="J15" s="58"/>
      <c r="K15" s="58"/>
      <c r="L15" s="41">
        <f>SUMIF('прогноз на 20.05.12'!$C$7:$C$83,$C15,'прогноз на 20.05.12'!D$7:D$83)+SUMIF('прогноз на 20.05.12'!$C$7:$C$83,$E15,'прогноз на 20.05.12'!D$7:D$83)+SUMIF('прогноз на 20.05.12'!$C$7:$C$83,$G15,'прогноз на 20.05.12'!D$7:D$83)+SUMIF('прогноз на 20.05.12'!$C$7:$C$83,$I15,'прогноз на 20.05.12'!D$7:D$83)+SUMIF('прогноз на 20.05.12'!$C$7:$C$83,$K15,'прогноз на 20.05.12'!D$7:D$83)</f>
        <v>312</v>
      </c>
      <c r="M15" s="41">
        <f>SUMIF('прогноз на 20.05.12'!$C$7:$C$83,$C15,'прогноз на 20.05.12'!E$7:E$83)+SUMIF('прогноз на 20.05.12'!$C$7:$C$83,$E15,'прогноз на 20.05.12'!E$7:E$83)+SUMIF('прогноз на 20.05.12'!$C$7:$C$83,$G15,'прогноз на 20.05.12'!E$7:E$83)+SUMIF('прогноз на 20.05.12'!$C$7:$C$83,$I15,'прогноз на 20.05.12'!E$7:E$83)+SUMIF('прогноз на 20.05.12'!$C$7:$C$83,$K15,'прогноз на 20.05.12'!E$7:E$83)</f>
        <v>345</v>
      </c>
      <c r="N15" s="41">
        <f>SUMIF('прогноз на 20.05.12'!$C$7:$C$83,$C15,'прогноз на 20.05.12'!F$7:F$83)+SUMIF('прогноз на 20.05.12'!$C$7:$C$83,$E15,'прогноз на 20.05.12'!F$7:F$83)+SUMIF('прогноз на 20.05.12'!$C$7:$C$83,$G15,'прогноз на 20.05.12'!F$7:F$83)+SUMIF('прогноз на 20.05.12'!$C$7:$C$83,$I15,'прогноз на 20.05.12'!F$7:F$83)+SUMIF('прогноз на 20.05.12'!$C$7:$C$83,$K15,'прогноз на 20.05.12'!F$7:F$83)</f>
        <v>90</v>
      </c>
      <c r="O15" s="44">
        <f t="shared" si="6"/>
        <v>747</v>
      </c>
      <c r="P15" s="41">
        <f>SUMIF('прогноз на 20.05.12'!$C$7:$C$83,$C15,'прогноз на 20.05.12'!H$7:H$83)+SUMIF('прогноз на 20.05.12'!$C$7:$C$83,$E15,'прогноз на 20.05.12'!H$7:H$83)+SUMIF('прогноз на 20.05.12'!$C$7:$C$83,$G15,'прогноз на 20.05.12'!H$7:H$83)+SUMIF('прогноз на 20.05.12'!$C$7:$C$83,$I15,'прогноз на 20.05.12'!H$7:H$83)+SUMIF('прогноз на 20.05.12'!$C$7:$C$83,$K15,'прогноз на 20.05.12'!H$7:H$83)</f>
        <v>12</v>
      </c>
      <c r="Q15" s="41">
        <f>SUMIF('прогноз на 20.05.12'!$C$7:$C$83,$C15,'прогноз на 20.05.12'!I$7:I$83)+SUMIF('прогноз на 20.05.12'!$C$7:$C$83,$E15,'прогноз на 20.05.12'!I$7:I$83)+SUMIF('прогноз на 20.05.12'!$C$7:$C$83,$G15,'прогноз на 20.05.12'!I$7:I$83)+SUMIF('прогноз на 20.05.12'!$C$7:$C$83,$I15,'прогноз на 20.05.12'!I$7:I$83)+SUMIF('прогноз на 20.05.12'!$C$7:$C$83,$K15,'прогноз на 20.05.12'!I$7:I$83)</f>
        <v>15</v>
      </c>
      <c r="R15" s="41">
        <f>SUMIF('прогноз на 20.05.12'!$C$7:$C$83,$C15,'прогноз на 20.05.12'!J$7:J$83)+SUMIF('прогноз на 20.05.12'!$C$7:$C$83,$E15,'прогноз на 20.05.12'!J$7:J$83)+SUMIF('прогноз на 20.05.12'!$C$7:$C$83,$G15,'прогноз на 20.05.12'!J$7:J$83)+SUMIF('прогноз на 20.05.12'!$C$7:$C$83,$I15,'прогноз на 20.05.12'!J$7:J$83)+SUMIF('прогноз на 20.05.12'!$C$7:$C$83,$K15,'прогноз на 20.05.12'!J$7:J$83)</f>
        <v>4</v>
      </c>
      <c r="S15" s="45">
        <f t="shared" si="7"/>
        <v>31</v>
      </c>
      <c r="T15" s="41">
        <f>SUMIF('прогноз на 20.05.12'!$C$7:$C$83,$C15,'прогноз на 20.05.12'!L$7:L$83)+SUMIF('прогноз на 20.05.12'!$C$7:$C$83,$E15,'прогноз на 20.05.12'!L$7:L$83)+SUMIF('прогноз на 20.05.12'!$C$7:$C$83,$G15,'прогноз на 20.05.12'!L$7:L$83)+SUMIF('прогноз на 20.05.12'!$C$7:$C$83,$I15,'прогноз на 20.05.12'!L$7:L$83)+SUMIF('прогноз на 20.05.12'!$C$7:$C$83,$K15,'прогноз на 20.05.12'!L$7:L$83)</f>
        <v>0</v>
      </c>
      <c r="U15" s="41">
        <f>SUMIF('прогноз на 20.05.12'!$C$7:$C$83,$C15,'прогноз на 20.05.12'!M$7:M$83)+SUMIF('прогноз на 20.05.12'!$C$7:$C$83,$E15,'прогноз на 20.05.12'!M$7:M$83)+SUMIF('прогноз на 20.05.12'!$C$7:$C$83,$G15,'прогноз на 20.05.12'!M$7:M$83)+SUMIF('прогноз на 20.05.12'!$C$7:$C$83,$I15,'прогноз на 20.05.12'!M$7:M$83)+SUMIF('прогноз на 20.05.12'!$C$7:$C$83,$K15,'прогноз на 20.05.12'!M$7:M$83)</f>
        <v>3</v>
      </c>
      <c r="V15" s="41">
        <f>SUMIF('прогноз на 20.05.12'!$C$7:$C$83,$C15,'прогноз на 20.05.12'!N$7:N$83)+SUMIF('прогноз на 20.05.12'!$C$7:$C$83,$E15,'прогноз на 20.05.12'!N$7:N$83)+SUMIF('прогноз на 20.05.12'!$C$7:$C$83,$G15,'прогноз на 20.05.12'!N$7:N$83)+SUMIF('прогноз на 20.05.12'!$C$7:$C$83,$I15,'прогноз на 20.05.12'!N$7:N$83)+SUMIF('прогноз на 20.05.12'!$C$7:$C$83,$K15,'прогноз на 20.05.12'!N$7:N$83)</f>
        <v>0</v>
      </c>
      <c r="W15" s="45">
        <f t="shared" si="8"/>
        <v>3</v>
      </c>
      <c r="X15" s="41">
        <f>SUMIF('прогноз на 20.05.12'!$C$7:$C$83,$C15,'прогноз на 20.05.12'!P$7:P$83)+SUMIF('прогноз на 20.05.12'!$C$7:$C$83,$E15,'прогноз на 20.05.12'!P$7:P$83)+SUMIF('прогноз на 20.05.12'!$C$7:$C$83,$G15,'прогноз на 20.05.12'!P$7:P$83)+SUMIF('прогноз на 20.05.12'!$C$7:$C$83,$I15,'прогноз на 20.05.12'!P$7:P$83)+SUMIF('прогноз на 20.05.12'!$C$7:$C$83,$K15,'прогноз на 20.05.12'!P$7:P$83)</f>
        <v>9</v>
      </c>
      <c r="Y15" s="41">
        <f>SUMIF('прогноз на 20.05.12'!$C$7:$C$83,$C15,'прогноз на 20.05.12'!Q$7:Q$83)+SUMIF('прогноз на 20.05.12'!$C$7:$C$83,$E15,'прогноз на 20.05.12'!Q$7:Q$83)+SUMIF('прогноз на 20.05.12'!$C$7:$C$83,$G15,'прогноз на 20.05.12'!Q$7:Q$83)+SUMIF('прогноз на 20.05.12'!$C$7:$C$83,$I15,'прогноз на 20.05.12'!Q$7:Q$83)+SUMIF('прогноз на 20.05.12'!$C$7:$C$83,$K15,'прогноз на 20.05.12'!Q$7:Q$83)</f>
        <v>225</v>
      </c>
      <c r="Z15" s="41">
        <f>SUMIF('прогноз на 20.05.12'!$C$7:$C$83,$C15,'прогноз на 20.05.12'!R$7:R$83)+SUMIF('прогноз на 20.05.12'!$C$7:$C$83,$E15,'прогноз на 20.05.12'!R$7:R$83)+SUMIF('прогноз на 20.05.12'!$C$7:$C$83,$G15,'прогноз на 20.05.12'!R$7:R$83)+SUMIF('прогноз на 20.05.12'!$C$7:$C$83,$I15,'прогноз на 20.05.12'!R$7:R$83)+SUMIF('прогноз на 20.05.12'!$C$7:$C$83,$K15,'прогноз на 20.05.12'!R$7:R$83)</f>
        <v>0</v>
      </c>
      <c r="AA15" s="41">
        <f>SUMIF('прогноз на 20.05.12'!$C$7:$C$83,$C15,'прогноз на 20.05.12'!S$7:S$83)+SUMIF('прогноз на 20.05.12'!$C$7:$C$83,$E15,'прогноз на 20.05.12'!S$7:S$83)+SUMIF('прогноз на 20.05.12'!$C$7:$C$83,$G15,'прогноз на 20.05.12'!S$7:S$83)+SUMIF('прогноз на 20.05.12'!$C$7:$C$83,$I15,'прогноз на 20.05.12'!S$7:S$83)+SUMIF('прогноз на 20.05.12'!$C$7:$C$83,$K15,'прогноз на 20.05.12'!S$7:S$83)</f>
        <v>300</v>
      </c>
      <c r="AB15" s="41">
        <f>SUMIF('прогноз на 20.05.12'!$C$7:$C$83,$C15,'прогноз на 20.05.12'!T$7:T$83)+SUMIF('прогноз на 20.05.12'!$C$7:$C$83,$E15,'прогноз на 20.05.12'!T$7:T$83)+SUMIF('прогноз на 20.05.12'!$C$7:$C$83,$G15,'прогноз на 20.05.12'!T$7:T$83)+SUMIF('прогноз на 20.05.12'!$C$7:$C$83,$I15,'прогноз на 20.05.12'!T$7:T$83)+SUMIF('прогноз на 20.05.12'!$C$7:$C$83,$K15,'прогноз на 20.05.12'!T$7:T$83)</f>
        <v>375</v>
      </c>
      <c r="AC15" s="41">
        <f>SUMIF('прогноз на 20.05.12'!$C$7:$C$83,$C15,'прогноз на 20.05.12'!U$7:U$83)+SUMIF('прогноз на 20.05.12'!$C$7:$C$83,$E15,'прогноз на 20.05.12'!U$7:U$83)+SUMIF('прогноз на 20.05.12'!$C$7:$C$83,$G15,'прогноз на 20.05.12'!U$7:U$83)+SUMIF('прогноз на 20.05.12'!$C$7:$C$83,$I15,'прогноз на 20.05.12'!U$7:U$83)+SUMIF('прогноз на 20.05.12'!$C$7:$C$83,$K15,'прогноз на 20.05.12'!U$7:U$83)</f>
        <v>100</v>
      </c>
      <c r="AD15" s="41">
        <f>SUMIF('прогноз на 20.05.12'!$C$7:$C$83,$C15,'прогноз на 20.05.12'!V$7:V$83)+SUMIF('прогноз на 20.05.12'!$C$7:$C$83,$E15,'прогноз на 20.05.12'!V$7:V$83)+SUMIF('прогноз на 20.05.12'!$C$7:$C$83,$G15,'прогноз на 20.05.12'!V$7:V$83)+SUMIF('прогноз на 20.05.12'!$C$7:$C$83,$I15,'прогноз на 20.05.12'!V$7:V$83)+SUMIF('прогноз на 20.05.12'!$C$7:$C$83,$K15,'прогноз на 20.05.12'!V$7:V$83)</f>
        <v>775</v>
      </c>
      <c r="AE15" s="41">
        <f>SUMIF('прогноз на 20.05.12'!$C$7:$C$83,$C15,'прогноз на 20.05.12'!W$7:W$83)+SUMIF('прогноз на 20.05.12'!$C$7:$C$83,$E15,'прогноз на 20.05.12'!W$7:W$83)+SUMIF('прогноз на 20.05.12'!$C$7:$C$83,$G15,'прогноз на 20.05.12'!W$7:W$83)+SUMIF('прогноз на 20.05.12'!$C$7:$C$83,$I15,'прогноз на 20.05.12'!W$7:W$83)+SUMIF('прогноз на 20.05.12'!$C$7:$C$83,$K15,'прогноз на 20.05.12'!W$7:W$83)</f>
        <v>-12</v>
      </c>
      <c r="AF15" s="41">
        <f>SUMIF('прогноз на 20.05.12'!$C$7:$C$83,$C15,'прогноз на 20.05.12'!X$7:X$83)+SUMIF('прогноз на 20.05.12'!$C$7:$C$83,$E15,'прогноз на 20.05.12'!X$7:X$83)+SUMIF('прогноз на 20.05.12'!$C$7:$C$83,$G15,'прогноз на 20.05.12'!X$7:X$83)+SUMIF('прогноз на 20.05.12'!$C$7:$C$83,$I15,'прогноз на 20.05.12'!X$7:X$83)+SUMIF('прогноз на 20.05.12'!$C$7:$C$83,$K15,'прогноз на 20.05.12'!X$7:X$83)</f>
        <v>30</v>
      </c>
      <c r="AG15" s="41">
        <f>SUMIF('прогноз на 20.05.12'!$C$7:$C$83,$C15,'прогноз на 20.05.12'!Y$7:Y$83)+SUMIF('прогноз на 20.05.12'!$C$7:$C$83,$E15,'прогноз на 20.05.12'!Y$7:Y$83)+SUMIF('прогноз на 20.05.12'!$C$7:$C$83,$G15,'прогноз на 20.05.12'!Y$7:Y$83)+SUMIF('прогноз на 20.05.12'!$C$7:$C$83,$I15,'прогноз на 20.05.12'!Y$7:Y$83)+SUMIF('прогноз на 20.05.12'!$C$7:$C$83,$K15,'прогноз на 20.05.12'!Y$7:Y$83)</f>
        <v>10</v>
      </c>
      <c r="AH15" s="41">
        <f>SUMIF('прогноз на 20.05.12'!$C$7:$C$83,$C15,'прогноз на 20.05.12'!Z$7:Z$83)+SUMIF('прогноз на 20.05.12'!$C$7:$C$83,$E15,'прогноз на 20.05.12'!Z$7:Z$83)+SUMIF('прогноз на 20.05.12'!$C$7:$C$83,$G15,'прогноз на 20.05.12'!Z$7:Z$83)+SUMIF('прогноз на 20.05.12'!$C$7:$C$83,$I15,'прогноз на 20.05.12'!Z$7:Z$83)+SUMIF('прогноз на 20.05.12'!$C$7:$C$83,$K15,'прогноз на 20.05.12'!Z$7:Z$83)</f>
        <v>28</v>
      </c>
      <c r="AI15" s="41">
        <f>SUMIF('прогноз на 20.05.12'!$C$7:$C$83,$C15,'прогноз на 20.05.12'!AA$7:AA$83)+SUMIF('прогноз на 20.05.12'!$C$7:$C$83,$E15,'прогноз на 20.05.12'!AA$7:AA$83)+SUMIF('прогноз на 20.05.12'!$C$7:$C$83,$G15,'прогноз на 20.05.12'!AA$7:AA$83)+SUMIF('прогноз на 20.05.12'!$C$7:$C$83,$I15,'прогноз на 20.05.12'!AA$7:AA$83)+SUMIF('прогноз на 20.05.12'!$C$7:$C$83,$K15,'прогноз на 20.05.12'!AA$7:AA$83)</f>
        <v>2.4000000000000004</v>
      </c>
      <c r="AJ15" s="41">
        <f>SUMIF('прогноз на 20.05.12'!$C$7:$C$83,$C15,'прогноз на 20.05.12'!AB$7:AB$83)+SUMIF('прогноз на 20.05.12'!$C$7:$C$83,$E15,'прогноз на 20.05.12'!AB$7:AB$83)+SUMIF('прогноз на 20.05.12'!$C$7:$C$83,$G15,'прогноз на 20.05.12'!AB$7:AB$83)+SUMIF('прогноз на 20.05.12'!$C$7:$C$83,$I15,'прогноз на 20.05.12'!AB$7:AB$83)+SUMIF('прогноз на 20.05.12'!$C$7:$C$83,$K15,'прогноз на 20.05.12'!AB$7:AB$83)</f>
        <v>22.5</v>
      </c>
      <c r="AK15" s="41">
        <f>SUMIF('прогноз на 20.05.12'!$C$7:$C$83,$C15,'прогноз на 20.05.12'!AC$7:AC$83)+SUMIF('прогноз на 20.05.12'!$C$7:$C$83,$E15,'прогноз на 20.05.12'!AC$7:AC$83)+SUMIF('прогноз на 20.05.12'!$C$7:$C$83,$G15,'прогноз на 20.05.12'!AC$7:AC$83)+SUMIF('прогноз на 20.05.12'!$C$7:$C$83,$I15,'прогноз на 20.05.12'!AC$7:AC$83)+SUMIF('прогноз на 20.05.12'!$C$7:$C$83,$K15,'прогноз на 20.05.12'!AC$7:AC$83)</f>
        <v>7.5</v>
      </c>
      <c r="AL15" s="41">
        <f>SUMIF('прогноз на 20.05.12'!$C$7:$C$83,$C15,'прогноз на 20.05.12'!AD$7:AD$83)+SUMIF('прогноз на 20.05.12'!$C$7:$C$83,$E15,'прогноз на 20.05.12'!AD$7:AD$83)+SUMIF('прогноз на 20.05.12'!$C$7:$C$83,$G15,'прогноз на 20.05.12'!AD$7:AD$83)+SUMIF('прогноз на 20.05.12'!$C$7:$C$83,$I15,'прогноз на 20.05.12'!AD$7:AD$83)+SUMIF('прогноз на 20.05.12'!$C$7:$C$83,$K15,'прогноз на 20.05.12'!AD$7:AD$83)</f>
        <v>32.4</v>
      </c>
      <c r="AM15" s="41">
        <f>SUMIF('прогноз на 20.05.12'!$C$7:$C$83,$C15,'прогноз на 20.05.12'!AE$7:AE$83)+SUMIF('прогноз на 20.05.12'!$C$7:$C$83,$E15,'прогноз на 20.05.12'!AE$7:AE$83)+SUMIF('прогноз на 20.05.12'!$C$7:$C$83,$G15,'прогноз на 20.05.12'!AE$7:AE$83)+SUMIF('прогноз на 20.05.12'!$C$7:$C$83,$I15,'прогноз на 20.05.12'!AE$7:AE$83)+SUMIF('прогноз на 20.05.12'!$C$7:$C$83,$K15,'прогноз на 20.05.12'!AE$7:AE$83)</f>
        <v>314.39999999999998</v>
      </c>
      <c r="AN15" s="41">
        <f>SUMIF('прогноз на 20.05.12'!$C$7:$C$83,$C15,'прогноз на 20.05.12'!AF$7:AF$83)+SUMIF('прогноз на 20.05.12'!$C$7:$C$83,$E15,'прогноз на 20.05.12'!AF$7:AF$83)+SUMIF('прогноз на 20.05.12'!$C$7:$C$83,$G15,'прогноз на 20.05.12'!AF$7:AF$83)+SUMIF('прогноз на 20.05.12'!$C$7:$C$83,$I15,'прогноз на 20.05.12'!AF$7:AF$83)+SUMIF('прогноз на 20.05.12'!$C$7:$C$83,$K15,'прогноз на 20.05.12'!AF$7:AF$83)</f>
        <v>367.5</v>
      </c>
      <c r="AO15" s="41">
        <f>SUMIF('прогноз на 20.05.12'!$C$7:$C$83,$C15,'прогноз на 20.05.12'!AG$7:AG$83)+SUMIF('прогноз на 20.05.12'!$C$7:$C$83,$E15,'прогноз на 20.05.12'!AG$7:AG$83)+SUMIF('прогноз на 20.05.12'!$C$7:$C$83,$G15,'прогноз на 20.05.12'!AG$7:AG$83)+SUMIF('прогноз на 20.05.12'!$C$7:$C$83,$I15,'прогноз на 20.05.12'!AG$7:AG$83)+SUMIF('прогноз на 20.05.12'!$C$7:$C$83,$K15,'прогноз на 20.05.12'!AG$7:AG$83)</f>
        <v>97.5</v>
      </c>
      <c r="AP15" s="41">
        <f>SUMIF('прогноз на 20.05.12'!$C$7:$C$83,$C15,'прогноз на 20.05.12'!AH$7:AH$83)+SUMIF('прогноз на 20.05.12'!$C$7:$C$83,$E15,'прогноз на 20.05.12'!AH$7:AH$83)+SUMIF('прогноз на 20.05.12'!$C$7:$C$83,$G15,'прогноз на 20.05.12'!AH$7:AH$83)+SUMIF('прогноз на 20.05.12'!$C$7:$C$83,$I15,'прогноз на 20.05.12'!AH$7:AH$83)+SUMIF('прогноз на 20.05.12'!$C$7:$C$83,$K15,'прогноз на 20.05.12'!AH$7:AH$83)</f>
        <v>779.4</v>
      </c>
      <c r="AQ15" s="41">
        <f>SUMIF('прогноз на 20.05.12'!$C$7:$C$83,$C15,'прогноз на 20.05.12'!AM$7:AM$83)+SUMIF('прогноз на 20.05.12'!$C$7:$C$83,$E15,'прогноз на 20.05.12'!AM$7:AM$83)+SUMIF('прогноз на 20.05.12'!$C$7:$C$83,$G15,'прогноз на 20.05.12'!AM$7:AM$83)+SUMIF('прогноз на 20.05.12'!$C$7:$C$83,$I15,'прогноз на 20.05.12'!AM$7:AM$83)+SUMIF('прогноз на 20.05.12'!$C$7:$C$83,$K15,'прогноз на 20.05.12'!AM$7:AM$83)</f>
        <v>31665.600000000006</v>
      </c>
      <c r="AR15" s="41">
        <f>SUMIF('прогноз на 20.05.12'!$C$7:$C$83,$C15,'прогноз на 20.05.12'!AN$7:AN$83)+SUMIF('прогноз на 20.05.12'!$C$7:$C$83,$E15,'прогноз на 20.05.12'!AN$7:AN$83)+SUMIF('прогноз на 20.05.12'!$C$7:$C$83,$G15,'прогноз на 20.05.12'!AN$7:AN$83)+SUMIF('прогноз на 20.05.12'!$C$7:$C$83,$I15,'прогноз на 20.05.12'!AN$7:AN$83)+SUMIF('прогноз на 20.05.12'!$C$7:$C$83,$K15,'прогноз на 20.05.12'!AN$7:AN$83)</f>
        <v>695902.5</v>
      </c>
      <c r="AS15" s="41">
        <f>SUMIF('прогноз на 20.05.12'!$C$7:$C$83,$C15,'прогноз на 20.05.12'!AO$7:AO$83)+SUMIF('прогноз на 20.05.12'!$C$7:$C$83,$E15,'прогноз на 20.05.12'!AO$7:AO$83)+SUMIF('прогноз на 20.05.12'!$C$7:$C$83,$G15,'прогноз на 20.05.12'!AO$7:AO$83)+SUMIF('прогноз на 20.05.12'!$C$7:$C$83,$I15,'прогноз на 20.05.12'!AO$7:AO$83)+SUMIF('прогноз на 20.05.12'!$C$7:$C$83,$K15,'прогноз на 20.05.12'!AO$7:AO$83)</f>
        <v>259762.5</v>
      </c>
      <c r="AT15" s="41">
        <f>SUMIF('прогноз на 20.05.12'!$C$7:$C$83,$C15,'прогноз на 20.05.12'!AP$7:AP$83)+SUMIF('прогноз на 20.05.12'!$C$7:$C$83,$E15,'прогноз на 20.05.12'!AP$7:AP$83)+SUMIF('прогноз на 20.05.12'!$C$7:$C$83,$G15,'прогноз на 20.05.12'!AP$7:AP$83)+SUMIF('прогноз на 20.05.12'!$C$7:$C$83,$I15,'прогноз на 20.05.12'!AP$7:AP$83)+SUMIF('прогноз на 20.05.12'!$C$7:$C$83,$K15,'прогноз на 20.05.12'!AP$7:AP$83)</f>
        <v>987330.6</v>
      </c>
      <c r="AU15" s="41">
        <f>SUMIF('прогноз на 20.05.12'!$C$7:$C$83,$C15,'прогноз на 20.05.12'!AU$7:AU$83)+SUMIF('прогноз на 20.05.12'!$C$7:$C$83,$E15,'прогноз на 20.05.12'!AU$7:AU$83)+SUMIF('прогноз на 20.05.12'!$C$7:$C$83,$G15,'прогноз на 20.05.12'!AU$7:AU$83)+SUMIF('прогноз на 20.05.12'!$C$7:$C$83,$I15,'прогноз на 20.05.12'!AU$7:AU$83)+SUMIF('прогноз на 20.05.12'!$C$7:$C$83,$K15,'прогноз на 20.05.12'!AU$7:AU$83)</f>
        <v>2020.8000000000004</v>
      </c>
      <c r="AV15" s="41">
        <f>SUMIF('прогноз на 20.05.12'!$C$7:$C$83,$C15,'прогноз на 20.05.12'!AV$7:AV$83)+SUMIF('прогноз на 20.05.12'!$C$7:$C$83,$E15,'прогноз на 20.05.12'!AV$7:AV$83)+SUMIF('прогноз на 20.05.12'!$C$7:$C$83,$G15,'прогноз на 20.05.12'!AV$7:AV$83)+SUMIF('прогноз на 20.05.12'!$C$7:$C$83,$I15,'прогноз на 20.05.12'!AV$7:AV$83)+SUMIF('прогноз на 20.05.12'!$C$7:$C$83,$K15,'прогноз на 20.05.12'!AV$7:AV$83)</f>
        <v>20610</v>
      </c>
      <c r="AW15" s="41">
        <f>SUMIF('прогноз на 20.05.12'!$C$7:$C$83,$C15,'прогноз на 20.05.12'!AW$7:AW$83)+SUMIF('прогноз на 20.05.12'!$C$7:$C$83,$E15,'прогноз на 20.05.12'!AW$7:AW$83)+SUMIF('прогноз на 20.05.12'!$C$7:$C$83,$G15,'прогноз на 20.05.12'!AW$7:AW$83)+SUMIF('прогноз на 20.05.12'!$C$7:$C$83,$I15,'прогноз на 20.05.12'!AW$7:AW$83)+SUMIF('прогноз на 20.05.12'!$C$7:$C$83,$K15,'прогноз на 20.05.12'!AW$7:AW$83)</f>
        <v>8385</v>
      </c>
      <c r="AX15" s="41">
        <f>SUMIF('прогноз на 20.05.12'!$C$7:$C$83,$C15,'прогноз на 20.05.12'!AX$7:AX$83)+SUMIF('прогноз на 20.05.12'!$C$7:$C$83,$E15,'прогноз на 20.05.12'!AX$7:AX$83)+SUMIF('прогноз на 20.05.12'!$C$7:$C$83,$G15,'прогноз на 20.05.12'!AX$7:AX$83)+SUMIF('прогноз на 20.05.12'!$C$7:$C$83,$I15,'прогноз на 20.05.12'!AX$7:AX$83)+SUMIF('прогноз на 20.05.12'!$C$7:$C$83,$K15,'прогноз на 20.05.12'!AX$7:AX$83)</f>
        <v>31015.8</v>
      </c>
      <c r="AY15" s="41">
        <f>SUMIF('прогноз на 20.05.12'!$C$7:$C$83,$C15,'прогноз на 20.05.12'!AY$7:AY$83)+SUMIF('прогноз на 20.05.12'!$C$7:$C$83,$E15,'прогноз на 20.05.12'!AY$7:AY$83)+SUMIF('прогноз на 20.05.12'!$C$7:$C$83,$G15,'прогноз на 20.05.12'!AY$7:AY$83)+SUMIF('прогноз на 20.05.12'!$C$7:$C$83,$I15,'прогноз на 20.05.12'!AY$7:AY$83)+SUMIF('прогноз на 20.05.12'!$C$7:$C$83,$K15,'прогноз на 20.05.12'!AY$7:AY$83)</f>
        <v>33686.400000000009</v>
      </c>
      <c r="AZ15" s="41">
        <f>SUMIF('прогноз на 20.05.12'!$C$7:$C$83,$C15,'прогноз на 20.05.12'!AZ$7:AZ$83)+SUMIF('прогноз на 20.05.12'!$C$7:$C$83,$E15,'прогноз на 20.05.12'!AZ$7:AZ$83)+SUMIF('прогноз на 20.05.12'!$C$7:$C$83,$G15,'прогноз на 20.05.12'!AZ$7:AZ$83)+SUMIF('прогноз на 20.05.12'!$C$7:$C$83,$I15,'прогноз на 20.05.12'!AZ$7:AZ$83)+SUMIF('прогноз на 20.05.12'!$C$7:$C$83,$K15,'прогноз на 20.05.12'!AZ$7:AZ$83)</f>
        <v>716512.5</v>
      </c>
      <c r="BA15" s="41">
        <f>SUMIF('прогноз на 20.05.12'!$C$7:$C$83,$C15,'прогноз на 20.05.12'!BA$7:BA$83)+SUMIF('прогноз на 20.05.12'!$C$7:$C$83,$E15,'прогноз на 20.05.12'!BA$7:BA$83)+SUMIF('прогноз на 20.05.12'!$C$7:$C$83,$G15,'прогноз на 20.05.12'!BA$7:BA$83)+SUMIF('прогноз на 20.05.12'!$C$7:$C$83,$I15,'прогноз на 20.05.12'!BA$7:BA$83)+SUMIF('прогноз на 20.05.12'!$C$7:$C$83,$K15,'прогноз на 20.05.12'!BA$7:BA$83)</f>
        <v>268147.5</v>
      </c>
      <c r="BB15" s="41">
        <f>SUMIF('прогноз на 20.05.12'!$C$7:$C$83,$C15,'прогноз на 20.05.12'!BB$7:BB$83)+SUMIF('прогноз на 20.05.12'!$C$7:$C$83,$E15,'прогноз на 20.05.12'!BB$7:BB$83)+SUMIF('прогноз на 20.05.12'!$C$7:$C$83,$G15,'прогноз на 20.05.12'!BB$7:BB$83)+SUMIF('прогноз на 20.05.12'!$C$7:$C$83,$I15,'прогноз на 20.05.12'!BB$7:BB$83)+SUMIF('прогноз на 20.05.12'!$C$7:$C$83,$K15,'прогноз на 20.05.12'!BB$7:BB$83)</f>
        <v>1018346.4</v>
      </c>
      <c r="BC15" s="41">
        <f>SUMIF('прогноз на 20.05.12'!$C$7:$C$83,$C15,'прогноз на 20.05.12'!BC$7:BC$83)+SUMIF('прогноз на 20.05.12'!$C$7:$C$83,$E15,'прогноз на 20.05.12'!BC$7:BC$83)+SUMIF('прогноз на 20.05.12'!$C$7:$C$83,$G15,'прогноз на 20.05.12'!BC$7:BC$83)+SUMIF('прогноз на 20.05.12'!$C$7:$C$83,$I15,'прогноз на 20.05.12'!BC$7:BC$83)+SUMIF('прогноз на 20.05.12'!$C$7:$C$83,$K15,'прогноз на 20.05.12'!BC$7:BC$83)</f>
        <v>677980</v>
      </c>
      <c r="BD15" s="41">
        <f>SUMIF('прогноз на 20.05.12'!$C$7:$C$83,$C15,'прогноз на 20.05.12'!BD$7:BD$83)+SUMIF('прогноз на 20.05.12'!$C$7:$C$83,$E15,'прогноз на 20.05.12'!BD$7:BD$83)+SUMIF('прогноз на 20.05.12'!$C$7:$C$83,$G15,'прогноз на 20.05.12'!BD$7:BD$83)+SUMIF('прогноз на 20.05.12'!$C$7:$C$83,$I15,'прогноз на 20.05.12'!BD$7:BD$83)+SUMIF('прогноз на 20.05.12'!$C$7:$C$83,$K15,'прогноз на 20.05.12'!BD$7:BD$83)</f>
        <v>677980</v>
      </c>
      <c r="BE15" s="41">
        <f>SUMIF('прогноз на 20.05.12'!$C$7:$C$83,$C15,'прогноз на 20.05.12'!BE$7:BE$83)+SUMIF('прогноз на 20.05.12'!$C$7:$C$83,$E15,'прогноз на 20.05.12'!BE$7:BE$83)+SUMIF('прогноз на 20.05.12'!$C$7:$C$83,$G15,'прогноз на 20.05.12'!BE$7:BE$83)+SUMIF('прогноз на 20.05.12'!$C$7:$C$83,$I15,'прогноз на 20.05.12'!BE$7:BE$83)+SUMIF('прогноз на 20.05.12'!$C$7:$C$83,$K15,'прогноз на 20.05.12'!BE$7:BE$83)</f>
        <v>0</v>
      </c>
      <c r="BF15" s="41">
        <f>SUMIF('прогноз на 20.05.12'!$C$7:$C$83,$C15,'прогноз на 20.05.12'!BF$7:BF$83)+SUMIF('прогноз на 20.05.12'!$C$7:$C$83,$E15,'прогноз на 20.05.12'!BF$7:BF$83)+SUMIF('прогноз на 20.05.12'!$C$7:$C$83,$G15,'прогноз на 20.05.12'!BF$7:BF$83)+SUMIF('прогноз на 20.05.12'!$C$7:$C$83,$I15,'прогноз на 20.05.12'!BF$7:BF$83)+SUMIF('прогноз на 20.05.12'!$C$7:$C$83,$K15,'прогноз на 20.05.12'!BF$7:BF$83)</f>
        <v>-340366.4</v>
      </c>
      <c r="BG15" s="41">
        <f>SUMIF('прогноз на 20.05.12'!$C$7:$C$83,$C15,'прогноз на 20.05.12'!BG$7:BG$83)+SUMIF('прогноз на 20.05.12'!$C$7:$C$83,$E15,'прогноз на 20.05.12'!BG$7:BG$83)+SUMIF('прогноз на 20.05.12'!$C$7:$C$83,$G15,'прогноз на 20.05.12'!BG$7:BG$83)+SUMIF('прогноз на 20.05.12'!$C$7:$C$83,$I15,'прогноз на 20.05.12'!BG$7:BG$83)+SUMIF('прогноз на 20.05.12'!$C$7:$C$83,$K15,'прогноз на 20.05.12'!BG$7:BG$83)</f>
        <v>0</v>
      </c>
      <c r="BH15" s="41">
        <f>SUMIF('прогноз на 20.05.12'!$C$7:$C$83,$C15,'прогноз на 20.05.12'!BH$7:BH$83)+SUMIF('прогноз на 20.05.12'!$C$7:$C$83,$E15,'прогноз на 20.05.12'!BH$7:BH$83)+SUMIF('прогноз на 20.05.12'!$C$7:$C$83,$G15,'прогноз на 20.05.12'!BH$7:BH$83)+SUMIF('прогноз на 20.05.12'!$C$7:$C$83,$I15,'прогноз на 20.05.12'!BH$7:BH$83)+SUMIF('прогноз на 20.05.12'!$C$7:$C$83,$K15,'прогноз на 20.05.12'!BH$7:BH$83)</f>
        <v>-340366.4</v>
      </c>
      <c r="BI15" s="90">
        <f t="shared" si="10"/>
        <v>26</v>
      </c>
      <c r="BJ15" s="90">
        <f t="shared" si="11"/>
        <v>23</v>
      </c>
      <c r="BK15" s="90">
        <f t="shared" si="12"/>
        <v>22.5</v>
      </c>
      <c r="BL15" s="90">
        <f t="shared" si="13"/>
        <v>24.096774193548388</v>
      </c>
    </row>
    <row r="16" spans="1:64" s="59" customFormat="1" ht="18.75">
      <c r="A16" s="38">
        <v>10</v>
      </c>
      <c r="B16" s="39" t="s">
        <v>53</v>
      </c>
      <c r="C16" s="40" t="s">
        <v>208</v>
      </c>
      <c r="D16" s="58"/>
      <c r="E16" s="58"/>
      <c r="F16" s="58"/>
      <c r="G16" s="58"/>
      <c r="H16" s="58"/>
      <c r="I16" s="58"/>
      <c r="J16" s="58"/>
      <c r="K16" s="58"/>
      <c r="L16" s="41">
        <f>SUMIF('прогноз на 20.05.12'!$C$7:$C$83,$C16,'прогноз на 20.05.12'!D$7:D$83)+SUMIF('прогноз на 20.05.12'!$C$7:$C$83,$E16,'прогноз на 20.05.12'!D$7:D$83)+SUMIF('прогноз на 20.05.12'!$C$7:$C$83,$G16,'прогноз на 20.05.12'!D$7:D$83)+SUMIF('прогноз на 20.05.12'!$C$7:$C$83,$I16,'прогноз на 20.05.12'!D$7:D$83)+SUMIF('прогноз на 20.05.12'!$C$7:$C$83,$K16,'прогноз на 20.05.12'!D$7:D$83)</f>
        <v>188</v>
      </c>
      <c r="M16" s="41">
        <f>SUMIF('прогноз на 20.05.12'!$C$7:$C$83,$C16,'прогноз на 20.05.12'!E$7:E$83)+SUMIF('прогноз на 20.05.12'!$C$7:$C$83,$E16,'прогноз на 20.05.12'!E$7:E$83)+SUMIF('прогноз на 20.05.12'!$C$7:$C$83,$G16,'прогноз на 20.05.12'!E$7:E$83)+SUMIF('прогноз на 20.05.12'!$C$7:$C$83,$I16,'прогноз на 20.05.12'!E$7:E$83)+SUMIF('прогноз на 20.05.12'!$C$7:$C$83,$K16,'прогноз на 20.05.12'!E$7:E$83)</f>
        <v>256</v>
      </c>
      <c r="N16" s="41">
        <f>SUMIF('прогноз на 20.05.12'!$C$7:$C$83,$C16,'прогноз на 20.05.12'!F$7:F$83)+SUMIF('прогноз на 20.05.12'!$C$7:$C$83,$E16,'прогноз на 20.05.12'!F$7:F$83)+SUMIF('прогноз на 20.05.12'!$C$7:$C$83,$G16,'прогноз на 20.05.12'!F$7:F$83)+SUMIF('прогноз на 20.05.12'!$C$7:$C$83,$I16,'прогноз на 20.05.12'!F$7:F$83)+SUMIF('прогноз на 20.05.12'!$C$7:$C$83,$K16,'прогноз на 20.05.12'!F$7:F$83)</f>
        <v>83</v>
      </c>
      <c r="O16" s="44">
        <f t="shared" si="6"/>
        <v>527</v>
      </c>
      <c r="P16" s="41">
        <f>SUMIF('прогноз на 20.05.12'!$C$7:$C$83,$C16,'прогноз на 20.05.12'!H$7:H$83)+SUMIF('прогноз на 20.05.12'!$C$7:$C$83,$E16,'прогноз на 20.05.12'!H$7:H$83)+SUMIF('прогноз на 20.05.12'!$C$7:$C$83,$G16,'прогноз на 20.05.12'!H$7:H$83)+SUMIF('прогноз на 20.05.12'!$C$7:$C$83,$I16,'прогноз на 20.05.12'!H$7:H$83)+SUMIF('прогноз на 20.05.12'!$C$7:$C$83,$K16,'прогноз на 20.05.12'!H$7:H$83)</f>
        <v>9</v>
      </c>
      <c r="Q16" s="41">
        <f>SUMIF('прогноз на 20.05.12'!$C$7:$C$83,$C16,'прогноз на 20.05.12'!I$7:I$83)+SUMIF('прогноз на 20.05.12'!$C$7:$C$83,$E16,'прогноз на 20.05.12'!I$7:I$83)+SUMIF('прогноз на 20.05.12'!$C$7:$C$83,$G16,'прогноз на 20.05.12'!I$7:I$83)+SUMIF('прогноз на 20.05.12'!$C$7:$C$83,$I16,'прогноз на 20.05.12'!I$7:I$83)+SUMIF('прогноз на 20.05.12'!$C$7:$C$83,$K16,'прогноз на 20.05.12'!I$7:I$83)</f>
        <v>10</v>
      </c>
      <c r="R16" s="41">
        <f>SUMIF('прогноз на 20.05.12'!$C$7:$C$83,$C16,'прогноз на 20.05.12'!J$7:J$83)+SUMIF('прогноз на 20.05.12'!$C$7:$C$83,$E16,'прогноз на 20.05.12'!J$7:J$83)+SUMIF('прогноз на 20.05.12'!$C$7:$C$83,$G16,'прогноз на 20.05.12'!J$7:J$83)+SUMIF('прогноз на 20.05.12'!$C$7:$C$83,$I16,'прогноз на 20.05.12'!J$7:J$83)+SUMIF('прогноз на 20.05.12'!$C$7:$C$83,$K16,'прогноз на 20.05.12'!J$7:J$83)</f>
        <v>4</v>
      </c>
      <c r="S16" s="45">
        <f t="shared" si="7"/>
        <v>23</v>
      </c>
      <c r="T16" s="41">
        <f>SUMIF('прогноз на 20.05.12'!$C$7:$C$83,$C16,'прогноз на 20.05.12'!L$7:L$83)+SUMIF('прогноз на 20.05.12'!$C$7:$C$83,$E16,'прогноз на 20.05.12'!L$7:L$83)+SUMIF('прогноз на 20.05.12'!$C$7:$C$83,$G16,'прогноз на 20.05.12'!L$7:L$83)+SUMIF('прогноз на 20.05.12'!$C$7:$C$83,$I16,'прогноз на 20.05.12'!L$7:L$83)+SUMIF('прогноз на 20.05.12'!$C$7:$C$83,$K16,'прогноз на 20.05.12'!L$7:L$83)</f>
        <v>1</v>
      </c>
      <c r="U16" s="41">
        <f>SUMIF('прогноз на 20.05.12'!$C$7:$C$83,$C16,'прогноз на 20.05.12'!M$7:M$83)+SUMIF('прогноз на 20.05.12'!$C$7:$C$83,$E16,'прогноз на 20.05.12'!M$7:M$83)+SUMIF('прогноз на 20.05.12'!$C$7:$C$83,$G16,'прогноз на 20.05.12'!M$7:M$83)+SUMIF('прогноз на 20.05.12'!$C$7:$C$83,$I16,'прогноз на 20.05.12'!M$7:M$83)+SUMIF('прогноз на 20.05.12'!$C$7:$C$83,$K16,'прогноз на 20.05.12'!M$7:M$83)</f>
        <v>0</v>
      </c>
      <c r="V16" s="41">
        <f>SUMIF('прогноз на 20.05.12'!$C$7:$C$83,$C16,'прогноз на 20.05.12'!N$7:N$83)+SUMIF('прогноз на 20.05.12'!$C$7:$C$83,$E16,'прогноз на 20.05.12'!N$7:N$83)+SUMIF('прогноз на 20.05.12'!$C$7:$C$83,$G16,'прогноз на 20.05.12'!N$7:N$83)+SUMIF('прогноз на 20.05.12'!$C$7:$C$83,$I16,'прогноз на 20.05.12'!N$7:N$83)+SUMIF('прогноз на 20.05.12'!$C$7:$C$83,$K16,'прогноз на 20.05.12'!N$7:N$83)</f>
        <v>0</v>
      </c>
      <c r="W16" s="45">
        <f t="shared" si="8"/>
        <v>1</v>
      </c>
      <c r="X16" s="41">
        <f>SUMIF('прогноз на 20.05.12'!$C$7:$C$83,$C16,'прогноз на 20.05.12'!P$7:P$83)+SUMIF('прогноз на 20.05.12'!$C$7:$C$83,$E16,'прогноз на 20.05.12'!P$7:P$83)+SUMIF('прогноз на 20.05.12'!$C$7:$C$83,$G16,'прогноз на 20.05.12'!P$7:P$83)+SUMIF('прогноз на 20.05.12'!$C$7:$C$83,$I16,'прогноз на 20.05.12'!P$7:P$83)+SUMIF('прогноз на 20.05.12'!$C$7:$C$83,$K16,'прогноз на 20.05.12'!P$7:P$83)</f>
        <v>4</v>
      </c>
      <c r="Y16" s="41">
        <f>SUMIF('прогноз на 20.05.12'!$C$7:$C$83,$C16,'прогноз на 20.05.12'!Q$7:Q$83)+SUMIF('прогноз на 20.05.12'!$C$7:$C$83,$E16,'прогноз на 20.05.12'!Q$7:Q$83)+SUMIF('прогноз на 20.05.12'!$C$7:$C$83,$G16,'прогноз на 20.05.12'!Q$7:Q$83)+SUMIF('прогноз на 20.05.12'!$C$7:$C$83,$I16,'прогноз на 20.05.12'!Q$7:Q$83)+SUMIF('прогноз на 20.05.12'!$C$7:$C$83,$K16,'прогноз на 20.05.12'!Q$7:Q$83)</f>
        <v>100</v>
      </c>
      <c r="Z16" s="41">
        <f>SUMIF('прогноз на 20.05.12'!$C$7:$C$83,$C16,'прогноз на 20.05.12'!R$7:R$83)+SUMIF('прогноз на 20.05.12'!$C$7:$C$83,$E16,'прогноз на 20.05.12'!R$7:R$83)+SUMIF('прогноз на 20.05.12'!$C$7:$C$83,$G16,'прогноз на 20.05.12'!R$7:R$83)+SUMIF('прогноз на 20.05.12'!$C$7:$C$83,$I16,'прогноз на 20.05.12'!R$7:R$83)+SUMIF('прогноз на 20.05.12'!$C$7:$C$83,$K16,'прогноз на 20.05.12'!R$7:R$83)</f>
        <v>0</v>
      </c>
      <c r="AA16" s="41">
        <f>SUMIF('прогноз на 20.05.12'!$C$7:$C$83,$C16,'прогноз на 20.05.12'!S$7:S$83)+SUMIF('прогноз на 20.05.12'!$C$7:$C$83,$E16,'прогноз на 20.05.12'!S$7:S$83)+SUMIF('прогноз на 20.05.12'!$C$7:$C$83,$G16,'прогноз на 20.05.12'!S$7:S$83)+SUMIF('прогноз на 20.05.12'!$C$7:$C$83,$I16,'прогноз на 20.05.12'!S$7:S$83)+SUMIF('прогноз на 20.05.12'!$C$7:$C$83,$K16,'прогноз на 20.05.12'!S$7:S$83)</f>
        <v>225</v>
      </c>
      <c r="AB16" s="41">
        <f>SUMIF('прогноз на 20.05.12'!$C$7:$C$83,$C16,'прогноз на 20.05.12'!T$7:T$83)+SUMIF('прогноз на 20.05.12'!$C$7:$C$83,$E16,'прогноз на 20.05.12'!T$7:T$83)+SUMIF('прогноз на 20.05.12'!$C$7:$C$83,$G16,'прогноз на 20.05.12'!T$7:T$83)+SUMIF('прогноз на 20.05.12'!$C$7:$C$83,$I16,'прогноз на 20.05.12'!T$7:T$83)+SUMIF('прогноз на 20.05.12'!$C$7:$C$83,$K16,'прогноз на 20.05.12'!T$7:T$83)</f>
        <v>250</v>
      </c>
      <c r="AC16" s="41">
        <f>SUMIF('прогноз на 20.05.12'!$C$7:$C$83,$C16,'прогноз на 20.05.12'!U$7:U$83)+SUMIF('прогноз на 20.05.12'!$C$7:$C$83,$E16,'прогноз на 20.05.12'!U$7:U$83)+SUMIF('прогноз на 20.05.12'!$C$7:$C$83,$G16,'прогноз на 20.05.12'!U$7:U$83)+SUMIF('прогноз на 20.05.12'!$C$7:$C$83,$I16,'прогноз на 20.05.12'!U$7:U$83)+SUMIF('прогноз на 20.05.12'!$C$7:$C$83,$K16,'прогноз на 20.05.12'!U$7:U$83)</f>
        <v>100</v>
      </c>
      <c r="AD16" s="41">
        <f>SUMIF('прогноз на 20.05.12'!$C$7:$C$83,$C16,'прогноз на 20.05.12'!V$7:V$83)+SUMIF('прогноз на 20.05.12'!$C$7:$C$83,$E16,'прогноз на 20.05.12'!V$7:V$83)+SUMIF('прогноз на 20.05.12'!$C$7:$C$83,$G16,'прогноз на 20.05.12'!V$7:V$83)+SUMIF('прогноз на 20.05.12'!$C$7:$C$83,$I16,'прогноз на 20.05.12'!V$7:V$83)+SUMIF('прогноз на 20.05.12'!$C$7:$C$83,$K16,'прогноз на 20.05.12'!V$7:V$83)</f>
        <v>575</v>
      </c>
      <c r="AE16" s="41">
        <f>SUMIF('прогноз на 20.05.12'!$C$7:$C$83,$C16,'прогноз на 20.05.12'!W$7:W$83)+SUMIF('прогноз на 20.05.12'!$C$7:$C$83,$E16,'прогноз на 20.05.12'!W$7:W$83)+SUMIF('прогноз на 20.05.12'!$C$7:$C$83,$G16,'прогноз на 20.05.12'!W$7:W$83)+SUMIF('прогноз на 20.05.12'!$C$7:$C$83,$I16,'прогноз на 20.05.12'!W$7:W$83)+SUMIF('прогноз на 20.05.12'!$C$7:$C$83,$K16,'прогноз на 20.05.12'!W$7:W$83)</f>
        <v>37</v>
      </c>
      <c r="AF16" s="41">
        <f>SUMIF('прогноз на 20.05.12'!$C$7:$C$83,$C16,'прогноз на 20.05.12'!X$7:X$83)+SUMIF('прогноз на 20.05.12'!$C$7:$C$83,$E16,'прогноз на 20.05.12'!X$7:X$83)+SUMIF('прогноз на 20.05.12'!$C$7:$C$83,$G16,'прогноз на 20.05.12'!X$7:X$83)+SUMIF('прогноз на 20.05.12'!$C$7:$C$83,$I16,'прогноз на 20.05.12'!X$7:X$83)+SUMIF('прогноз на 20.05.12'!$C$7:$C$83,$K16,'прогноз на 20.05.12'!X$7:X$83)</f>
        <v>-6</v>
      </c>
      <c r="AG16" s="41">
        <f>SUMIF('прогноз на 20.05.12'!$C$7:$C$83,$C16,'прогноз на 20.05.12'!Y$7:Y$83)+SUMIF('прогноз на 20.05.12'!$C$7:$C$83,$E16,'прогноз на 20.05.12'!Y$7:Y$83)+SUMIF('прогноз на 20.05.12'!$C$7:$C$83,$G16,'прогноз на 20.05.12'!Y$7:Y$83)+SUMIF('прогноз на 20.05.12'!$C$7:$C$83,$I16,'прогноз на 20.05.12'!Y$7:Y$83)+SUMIF('прогноз на 20.05.12'!$C$7:$C$83,$K16,'прогноз на 20.05.12'!Y$7:Y$83)</f>
        <v>17</v>
      </c>
      <c r="AH16" s="41">
        <f>SUMIF('прогноз на 20.05.12'!$C$7:$C$83,$C16,'прогноз на 20.05.12'!Z$7:Z$83)+SUMIF('прогноз на 20.05.12'!$C$7:$C$83,$E16,'прогноз на 20.05.12'!Z$7:Z$83)+SUMIF('прогноз на 20.05.12'!$C$7:$C$83,$G16,'прогноз на 20.05.12'!Z$7:Z$83)+SUMIF('прогноз на 20.05.12'!$C$7:$C$83,$I16,'прогноз на 20.05.12'!Z$7:Z$83)+SUMIF('прогноз на 20.05.12'!$C$7:$C$83,$K16,'прогноз на 20.05.12'!Z$7:Z$83)</f>
        <v>48</v>
      </c>
      <c r="AI16" s="41">
        <f>SUMIF('прогноз на 20.05.12'!$C$7:$C$83,$C16,'прогноз на 20.05.12'!AA$7:AA$83)+SUMIF('прогноз на 20.05.12'!$C$7:$C$83,$E16,'прогноз на 20.05.12'!AA$7:AA$83)+SUMIF('прогноз на 20.05.12'!$C$7:$C$83,$G16,'прогноз на 20.05.12'!AA$7:AA$83)+SUMIF('прогноз на 20.05.12'!$C$7:$C$83,$I16,'прогноз на 20.05.12'!AA$7:AA$83)+SUMIF('прогноз на 20.05.12'!$C$7:$C$83,$K16,'прогноз на 20.05.12'!AA$7:AA$83)</f>
        <v>27.75</v>
      </c>
      <c r="AJ16" s="41">
        <f>SUMIF('прогноз на 20.05.12'!$C$7:$C$83,$C16,'прогноз на 20.05.12'!AB$7:AB$83)+SUMIF('прогноз на 20.05.12'!$C$7:$C$83,$E16,'прогноз на 20.05.12'!AB$7:AB$83)+SUMIF('прогноз на 20.05.12'!$C$7:$C$83,$G16,'прогноз на 20.05.12'!AB$7:AB$83)+SUMIF('прогноз на 20.05.12'!$C$7:$C$83,$I16,'прогноз на 20.05.12'!AB$7:AB$83)+SUMIF('прогноз на 20.05.12'!$C$7:$C$83,$K16,'прогноз на 20.05.12'!AB$7:AB$83)</f>
        <v>1.2000000000000002</v>
      </c>
      <c r="AK16" s="41">
        <f>SUMIF('прогноз на 20.05.12'!$C$7:$C$83,$C16,'прогноз на 20.05.12'!AC$7:AC$83)+SUMIF('прогноз на 20.05.12'!$C$7:$C$83,$E16,'прогноз на 20.05.12'!AC$7:AC$83)+SUMIF('прогноз на 20.05.12'!$C$7:$C$83,$G16,'прогноз на 20.05.12'!AC$7:AC$83)+SUMIF('прогноз на 20.05.12'!$C$7:$C$83,$I16,'прогноз на 20.05.12'!AC$7:AC$83)+SUMIF('прогноз на 20.05.12'!$C$7:$C$83,$K16,'прогноз на 20.05.12'!AC$7:AC$83)</f>
        <v>12.75</v>
      </c>
      <c r="AL16" s="41">
        <f>SUMIF('прогноз на 20.05.12'!$C$7:$C$83,$C16,'прогноз на 20.05.12'!AD$7:AD$83)+SUMIF('прогноз на 20.05.12'!$C$7:$C$83,$E16,'прогноз на 20.05.12'!AD$7:AD$83)+SUMIF('прогноз на 20.05.12'!$C$7:$C$83,$G16,'прогноз на 20.05.12'!AD$7:AD$83)+SUMIF('прогноз на 20.05.12'!$C$7:$C$83,$I16,'прогноз на 20.05.12'!AD$7:AD$83)+SUMIF('прогноз на 20.05.12'!$C$7:$C$83,$K16,'прогноз на 20.05.12'!AD$7:AD$83)</f>
        <v>41.7</v>
      </c>
      <c r="AM16" s="41">
        <f>SUMIF('прогноз на 20.05.12'!$C$7:$C$83,$C16,'прогноз на 20.05.12'!AE$7:AE$83)+SUMIF('прогноз на 20.05.12'!$C$7:$C$83,$E16,'прогноз на 20.05.12'!AE$7:AE$83)+SUMIF('прогноз на 20.05.12'!$C$7:$C$83,$G16,'прогноз на 20.05.12'!AE$7:AE$83)+SUMIF('прогноз на 20.05.12'!$C$7:$C$83,$I16,'прогноз на 20.05.12'!AE$7:AE$83)+SUMIF('прогноз на 20.05.12'!$C$7:$C$83,$K16,'прогноз на 20.05.12'!AE$7:AE$83)</f>
        <v>215.75</v>
      </c>
      <c r="AN16" s="41">
        <f>SUMIF('прогноз на 20.05.12'!$C$7:$C$83,$C16,'прогноз на 20.05.12'!AF$7:AF$83)+SUMIF('прогноз на 20.05.12'!$C$7:$C$83,$E16,'прогноз на 20.05.12'!AF$7:AF$83)+SUMIF('прогноз на 20.05.12'!$C$7:$C$83,$G16,'прогноз на 20.05.12'!AF$7:AF$83)+SUMIF('прогноз на 20.05.12'!$C$7:$C$83,$I16,'прогноз на 20.05.12'!AF$7:AF$83)+SUMIF('прогноз на 20.05.12'!$C$7:$C$83,$K16,'прогноз на 20.05.12'!AF$7:AF$83)</f>
        <v>257.2</v>
      </c>
      <c r="AO16" s="41">
        <f>SUMIF('прогноз на 20.05.12'!$C$7:$C$83,$C16,'прогноз на 20.05.12'!AG$7:AG$83)+SUMIF('прогноз на 20.05.12'!$C$7:$C$83,$E16,'прогноз на 20.05.12'!AG$7:AG$83)+SUMIF('прогноз на 20.05.12'!$C$7:$C$83,$G16,'прогноз на 20.05.12'!AG$7:AG$83)+SUMIF('прогноз на 20.05.12'!$C$7:$C$83,$I16,'прогноз на 20.05.12'!AG$7:AG$83)+SUMIF('прогноз на 20.05.12'!$C$7:$C$83,$K16,'прогноз на 20.05.12'!AG$7:AG$83)</f>
        <v>95.75</v>
      </c>
      <c r="AP16" s="41">
        <f>SUMIF('прогноз на 20.05.12'!$C$7:$C$83,$C16,'прогноз на 20.05.12'!AH$7:AH$83)+SUMIF('прогноз на 20.05.12'!$C$7:$C$83,$E16,'прогноз на 20.05.12'!AH$7:AH$83)+SUMIF('прогноз на 20.05.12'!$C$7:$C$83,$G16,'прогноз на 20.05.12'!AH$7:AH$83)+SUMIF('прогноз на 20.05.12'!$C$7:$C$83,$I16,'прогноз на 20.05.12'!AH$7:AH$83)+SUMIF('прогноз на 20.05.12'!$C$7:$C$83,$K16,'прогноз на 20.05.12'!AH$7:AH$83)</f>
        <v>568.70000000000005</v>
      </c>
      <c r="AQ16" s="41">
        <f>SUMIF('прогноз на 20.05.12'!$C$7:$C$83,$C16,'прогноз на 20.05.12'!AM$7:AM$83)+SUMIF('прогноз на 20.05.12'!$C$7:$C$83,$E16,'прогноз на 20.05.12'!AM$7:AM$83)+SUMIF('прогноз на 20.05.12'!$C$7:$C$83,$G16,'прогноз на 20.05.12'!AM$7:AM$83)+SUMIF('прогноз на 20.05.12'!$C$7:$C$83,$I16,'прогноз на 20.05.12'!AM$7:AM$83)+SUMIF('прогноз на 20.05.12'!$C$7:$C$83,$K16,'прогноз на 20.05.12'!AM$7:AM$83)</f>
        <v>366133.5</v>
      </c>
      <c r="AR16" s="41">
        <f>SUMIF('прогноз на 20.05.12'!$C$7:$C$83,$C16,'прогноз на 20.05.12'!AN$7:AN$83)+SUMIF('прогноз на 20.05.12'!$C$7:$C$83,$E16,'прогноз на 20.05.12'!AN$7:AN$83)+SUMIF('прогноз на 20.05.12'!$C$7:$C$83,$G16,'прогноз на 20.05.12'!AN$7:AN$83)+SUMIF('прогноз на 20.05.12'!$C$7:$C$83,$I16,'прогноз на 20.05.12'!AN$7:AN$83)+SUMIF('прогноз на 20.05.12'!$C$7:$C$83,$K16,'прогноз на 20.05.12'!AN$7:AN$83)</f>
        <v>26316.000000000004</v>
      </c>
      <c r="AS16" s="41">
        <f>SUMIF('прогноз на 20.05.12'!$C$7:$C$83,$C16,'прогноз на 20.05.12'!AO$7:AO$83)+SUMIF('прогноз на 20.05.12'!$C$7:$C$83,$E16,'прогноз на 20.05.12'!AO$7:AO$83)+SUMIF('прогноз на 20.05.12'!$C$7:$C$83,$G16,'прогноз на 20.05.12'!AO$7:AO$83)+SUMIF('прогноз на 20.05.12'!$C$7:$C$83,$I16,'прогноз на 20.05.12'!AO$7:AO$83)+SUMIF('прогноз на 20.05.12'!$C$7:$C$83,$K16,'прогноз на 20.05.12'!AO$7:AO$83)</f>
        <v>320675.25</v>
      </c>
      <c r="AT16" s="41">
        <f>SUMIF('прогноз на 20.05.12'!$C$7:$C$83,$C16,'прогноз на 20.05.12'!AP$7:AP$83)+SUMIF('прогноз на 20.05.12'!$C$7:$C$83,$E16,'прогноз на 20.05.12'!AP$7:AP$83)+SUMIF('прогноз на 20.05.12'!$C$7:$C$83,$G16,'прогноз на 20.05.12'!AP$7:AP$83)+SUMIF('прогноз на 20.05.12'!$C$7:$C$83,$I16,'прогноз на 20.05.12'!AP$7:AP$83)+SUMIF('прогноз на 20.05.12'!$C$7:$C$83,$K16,'прогноз на 20.05.12'!AP$7:AP$83)</f>
        <v>713124.75</v>
      </c>
      <c r="AU16" s="41">
        <f>SUMIF('прогноз на 20.05.12'!$C$7:$C$83,$C16,'прогноз на 20.05.12'!AU$7:AU$83)+SUMIF('прогноз на 20.05.12'!$C$7:$C$83,$E16,'прогноз на 20.05.12'!AU$7:AU$83)+SUMIF('прогноз на 20.05.12'!$C$7:$C$83,$G16,'прогноз на 20.05.12'!AU$7:AU$83)+SUMIF('прогноз на 20.05.12'!$C$7:$C$83,$I16,'прогноз на 20.05.12'!AU$7:AU$83)+SUMIF('прогноз на 20.05.12'!$C$7:$C$83,$K16,'прогноз на 20.05.12'!AU$7:AU$83)</f>
        <v>23365.5</v>
      </c>
      <c r="AV16" s="41">
        <f>SUMIF('прогноз на 20.05.12'!$C$7:$C$83,$C16,'прогноз на 20.05.12'!AV$7:AV$83)+SUMIF('прогноз на 20.05.12'!$C$7:$C$83,$E16,'прогноз на 20.05.12'!AV$7:AV$83)+SUMIF('прогноз на 20.05.12'!$C$7:$C$83,$G16,'прогноз на 20.05.12'!AV$7:AV$83)+SUMIF('прогноз на 20.05.12'!$C$7:$C$83,$I16,'прогноз на 20.05.12'!AV$7:AV$83)+SUMIF('прогноз на 20.05.12'!$C$7:$C$83,$K16,'прогноз на 20.05.12'!AV$7:AV$83)</f>
        <v>1099.2000000000003</v>
      </c>
      <c r="AW16" s="41">
        <f>SUMIF('прогноз на 20.05.12'!$C$7:$C$83,$C16,'прогноз на 20.05.12'!AW$7:AW$83)+SUMIF('прогноз на 20.05.12'!$C$7:$C$83,$E16,'прогноз на 20.05.12'!AW$7:AW$83)+SUMIF('прогноз на 20.05.12'!$C$7:$C$83,$G16,'прогноз на 20.05.12'!AW$7:AW$83)+SUMIF('прогноз на 20.05.12'!$C$7:$C$83,$I16,'прогноз на 20.05.12'!AW$7:AW$83)+SUMIF('прогноз на 20.05.12'!$C$7:$C$83,$K16,'прогноз на 20.05.12'!AW$7:AW$83)</f>
        <v>14254.5</v>
      </c>
      <c r="AX16" s="41">
        <f>SUMIF('прогноз на 20.05.12'!$C$7:$C$83,$C16,'прогноз на 20.05.12'!AX$7:AX$83)+SUMIF('прогноз на 20.05.12'!$C$7:$C$83,$E16,'прогноз на 20.05.12'!AX$7:AX$83)+SUMIF('прогноз на 20.05.12'!$C$7:$C$83,$G16,'прогноз на 20.05.12'!AX$7:AX$83)+SUMIF('прогноз на 20.05.12'!$C$7:$C$83,$I16,'прогноз на 20.05.12'!AX$7:AX$83)+SUMIF('прогноз на 20.05.12'!$C$7:$C$83,$K16,'прогноз на 20.05.12'!AX$7:AX$83)</f>
        <v>38719.199999999997</v>
      </c>
      <c r="AY16" s="41">
        <f>SUMIF('прогноз на 20.05.12'!$C$7:$C$83,$C16,'прогноз на 20.05.12'!AY$7:AY$83)+SUMIF('прогноз на 20.05.12'!$C$7:$C$83,$E16,'прогноз на 20.05.12'!AY$7:AY$83)+SUMIF('прогноз на 20.05.12'!$C$7:$C$83,$G16,'прогноз на 20.05.12'!AY$7:AY$83)+SUMIF('прогноз на 20.05.12'!$C$7:$C$83,$I16,'прогноз на 20.05.12'!AY$7:AY$83)+SUMIF('прогноз на 20.05.12'!$C$7:$C$83,$K16,'прогноз на 20.05.12'!AY$7:AY$83)</f>
        <v>389499</v>
      </c>
      <c r="AZ16" s="41">
        <f>SUMIF('прогноз на 20.05.12'!$C$7:$C$83,$C16,'прогноз на 20.05.12'!AZ$7:AZ$83)+SUMIF('прогноз на 20.05.12'!$C$7:$C$83,$E16,'прогноз на 20.05.12'!AZ$7:AZ$83)+SUMIF('прогноз на 20.05.12'!$C$7:$C$83,$G16,'прогноз на 20.05.12'!AZ$7:AZ$83)+SUMIF('прогноз на 20.05.12'!$C$7:$C$83,$I16,'прогноз на 20.05.12'!AZ$7:AZ$83)+SUMIF('прогноз на 20.05.12'!$C$7:$C$83,$K16,'прогноз на 20.05.12'!AZ$7:AZ$83)</f>
        <v>27415.200000000004</v>
      </c>
      <c r="BA16" s="41">
        <f>SUMIF('прогноз на 20.05.12'!$C$7:$C$83,$C16,'прогноз на 20.05.12'!BA$7:BA$83)+SUMIF('прогноз на 20.05.12'!$C$7:$C$83,$E16,'прогноз на 20.05.12'!BA$7:BA$83)+SUMIF('прогноз на 20.05.12'!$C$7:$C$83,$G16,'прогноз на 20.05.12'!BA$7:BA$83)+SUMIF('прогноз на 20.05.12'!$C$7:$C$83,$I16,'прогноз на 20.05.12'!BA$7:BA$83)+SUMIF('прогноз на 20.05.12'!$C$7:$C$83,$K16,'прогноз на 20.05.12'!BA$7:BA$83)</f>
        <v>334929.75</v>
      </c>
      <c r="BB16" s="41">
        <f>SUMIF('прогноз на 20.05.12'!$C$7:$C$83,$C16,'прогноз на 20.05.12'!BB$7:BB$83)+SUMIF('прогноз на 20.05.12'!$C$7:$C$83,$E16,'прогноз на 20.05.12'!BB$7:BB$83)+SUMIF('прогноз на 20.05.12'!$C$7:$C$83,$G16,'прогноз на 20.05.12'!BB$7:BB$83)+SUMIF('прогноз на 20.05.12'!$C$7:$C$83,$I16,'прогноз на 20.05.12'!BB$7:BB$83)+SUMIF('прогноз на 20.05.12'!$C$7:$C$83,$K16,'прогноз на 20.05.12'!BB$7:BB$83)</f>
        <v>751843.95</v>
      </c>
      <c r="BC16" s="41">
        <f>SUMIF('прогноз на 20.05.12'!$C$7:$C$83,$C16,'прогноз на 20.05.12'!BC$7:BC$83)+SUMIF('прогноз на 20.05.12'!$C$7:$C$83,$E16,'прогноз на 20.05.12'!BC$7:BC$83)+SUMIF('прогноз на 20.05.12'!$C$7:$C$83,$G16,'прогноз на 20.05.12'!BC$7:BC$83)+SUMIF('прогноз на 20.05.12'!$C$7:$C$83,$I16,'прогноз на 20.05.12'!BC$7:BC$83)+SUMIF('прогноз на 20.05.12'!$C$7:$C$83,$K16,'прогноз на 20.05.12'!BC$7:BC$83)</f>
        <v>1285825</v>
      </c>
      <c r="BD16" s="41">
        <f>SUMIF('прогноз на 20.05.12'!$C$7:$C$83,$C16,'прогноз на 20.05.12'!BD$7:BD$83)+SUMIF('прогноз на 20.05.12'!$C$7:$C$83,$E16,'прогноз на 20.05.12'!BD$7:BD$83)+SUMIF('прогноз на 20.05.12'!$C$7:$C$83,$G16,'прогноз на 20.05.12'!BD$7:BD$83)+SUMIF('прогноз на 20.05.12'!$C$7:$C$83,$I16,'прогноз на 20.05.12'!BD$7:BD$83)+SUMIF('прогноз на 20.05.12'!$C$7:$C$83,$K16,'прогноз на 20.05.12'!BD$7:BD$83)</f>
        <v>1285825</v>
      </c>
      <c r="BE16" s="41">
        <f>SUMIF('прогноз на 20.05.12'!$C$7:$C$83,$C16,'прогноз на 20.05.12'!BE$7:BE$83)+SUMIF('прогноз на 20.05.12'!$C$7:$C$83,$E16,'прогноз на 20.05.12'!BE$7:BE$83)+SUMIF('прогноз на 20.05.12'!$C$7:$C$83,$G16,'прогноз на 20.05.12'!BE$7:BE$83)+SUMIF('прогноз на 20.05.12'!$C$7:$C$83,$I16,'прогноз на 20.05.12'!BE$7:BE$83)+SUMIF('прогноз на 20.05.12'!$C$7:$C$83,$K16,'прогноз на 20.05.12'!BE$7:BE$83)</f>
        <v>0</v>
      </c>
      <c r="BF16" s="41">
        <f>SUMIF('прогноз на 20.05.12'!$C$7:$C$83,$C16,'прогноз на 20.05.12'!BF$7:BF$83)+SUMIF('прогноз на 20.05.12'!$C$7:$C$83,$E16,'прогноз на 20.05.12'!BF$7:BF$83)+SUMIF('прогноз на 20.05.12'!$C$7:$C$83,$G16,'прогноз на 20.05.12'!BF$7:BF$83)+SUMIF('прогноз на 20.05.12'!$C$7:$C$83,$I16,'прогноз на 20.05.12'!BF$7:BF$83)+SUMIF('прогноз на 20.05.12'!$C$7:$C$83,$K16,'прогноз на 20.05.12'!BF$7:BF$83)</f>
        <v>533981.05000000005</v>
      </c>
      <c r="BG16" s="41">
        <f>SUMIF('прогноз на 20.05.12'!$C$7:$C$83,$C16,'прогноз на 20.05.12'!BG$7:BG$83)+SUMIF('прогноз на 20.05.12'!$C$7:$C$83,$E16,'прогноз на 20.05.12'!BG$7:BG$83)+SUMIF('прогноз на 20.05.12'!$C$7:$C$83,$G16,'прогноз на 20.05.12'!BG$7:BG$83)+SUMIF('прогноз на 20.05.12'!$C$7:$C$83,$I16,'прогноз на 20.05.12'!BG$7:BG$83)+SUMIF('прогноз на 20.05.12'!$C$7:$C$83,$K16,'прогноз на 20.05.12'!BG$7:BG$83)</f>
        <v>533981.05000000005</v>
      </c>
      <c r="BH16" s="41">
        <f>SUMIF('прогноз на 20.05.12'!$C$7:$C$83,$C16,'прогноз на 20.05.12'!BH$7:BH$83)+SUMIF('прогноз на 20.05.12'!$C$7:$C$83,$E16,'прогноз на 20.05.12'!BH$7:BH$83)+SUMIF('прогноз на 20.05.12'!$C$7:$C$83,$G16,'прогноз на 20.05.12'!BH$7:BH$83)+SUMIF('прогноз на 20.05.12'!$C$7:$C$83,$I16,'прогноз на 20.05.12'!BH$7:BH$83)+SUMIF('прогноз на 20.05.12'!$C$7:$C$83,$K16,'прогноз на 20.05.12'!BH$7:BH$83)</f>
        <v>0</v>
      </c>
      <c r="BI16" s="90">
        <f t="shared" si="10"/>
        <v>20.888888888888889</v>
      </c>
      <c r="BJ16" s="90">
        <f t="shared" si="11"/>
        <v>25.6</v>
      </c>
      <c r="BK16" s="90">
        <f t="shared" si="12"/>
        <v>20.75</v>
      </c>
      <c r="BL16" s="90">
        <f t="shared" si="13"/>
        <v>22.913043478260871</v>
      </c>
    </row>
    <row r="17" spans="1:64" s="59" customFormat="1" ht="18.75">
      <c r="A17" s="38">
        <v>11</v>
      </c>
      <c r="B17" s="39" t="s">
        <v>54</v>
      </c>
      <c r="C17" s="40" t="s">
        <v>209</v>
      </c>
      <c r="D17" s="58"/>
      <c r="E17" s="58"/>
      <c r="F17" s="58"/>
      <c r="G17" s="58"/>
      <c r="H17" s="58"/>
      <c r="I17" s="58"/>
      <c r="J17" s="58"/>
      <c r="K17" s="58"/>
      <c r="L17" s="41">
        <f>SUMIF('прогноз на 20.05.12'!$C$7:$C$83,$C17,'прогноз на 20.05.12'!D$7:D$83)+SUMIF('прогноз на 20.05.12'!$C$7:$C$83,$E17,'прогноз на 20.05.12'!D$7:D$83)+SUMIF('прогноз на 20.05.12'!$C$7:$C$83,$G17,'прогноз на 20.05.12'!D$7:D$83)+SUMIF('прогноз на 20.05.12'!$C$7:$C$83,$I17,'прогноз на 20.05.12'!D$7:D$83)+SUMIF('прогноз на 20.05.12'!$C$7:$C$83,$K17,'прогноз на 20.05.12'!D$7:D$83)</f>
        <v>229</v>
      </c>
      <c r="M17" s="41">
        <f>SUMIF('прогноз на 20.05.12'!$C$7:$C$83,$C17,'прогноз на 20.05.12'!E$7:E$83)+SUMIF('прогноз на 20.05.12'!$C$7:$C$83,$E17,'прогноз на 20.05.12'!E$7:E$83)+SUMIF('прогноз на 20.05.12'!$C$7:$C$83,$G17,'прогноз на 20.05.12'!E$7:E$83)+SUMIF('прогноз на 20.05.12'!$C$7:$C$83,$I17,'прогноз на 20.05.12'!E$7:E$83)+SUMIF('прогноз на 20.05.12'!$C$7:$C$83,$K17,'прогноз на 20.05.12'!E$7:E$83)</f>
        <v>318</v>
      </c>
      <c r="N17" s="41">
        <f>SUMIF('прогноз на 20.05.12'!$C$7:$C$83,$C17,'прогноз на 20.05.12'!F$7:F$83)+SUMIF('прогноз на 20.05.12'!$C$7:$C$83,$E17,'прогноз на 20.05.12'!F$7:F$83)+SUMIF('прогноз на 20.05.12'!$C$7:$C$83,$G17,'прогноз на 20.05.12'!F$7:F$83)+SUMIF('прогноз на 20.05.12'!$C$7:$C$83,$I17,'прогноз на 20.05.12'!F$7:F$83)+SUMIF('прогноз на 20.05.12'!$C$7:$C$83,$K17,'прогноз на 20.05.12'!F$7:F$83)</f>
        <v>100</v>
      </c>
      <c r="O17" s="44">
        <f t="shared" si="6"/>
        <v>647</v>
      </c>
      <c r="P17" s="41">
        <f>SUMIF('прогноз на 20.05.12'!$C$7:$C$83,$C17,'прогноз на 20.05.12'!H$7:H$83)+SUMIF('прогноз на 20.05.12'!$C$7:$C$83,$E17,'прогноз на 20.05.12'!H$7:H$83)+SUMIF('прогноз на 20.05.12'!$C$7:$C$83,$G17,'прогноз на 20.05.12'!H$7:H$83)+SUMIF('прогноз на 20.05.12'!$C$7:$C$83,$I17,'прогноз на 20.05.12'!H$7:H$83)+SUMIF('прогноз на 20.05.12'!$C$7:$C$83,$K17,'прогноз на 20.05.12'!H$7:H$83)</f>
        <v>10</v>
      </c>
      <c r="Q17" s="41">
        <f>SUMIF('прогноз на 20.05.12'!$C$7:$C$83,$C17,'прогноз на 20.05.12'!I$7:I$83)+SUMIF('прогноз на 20.05.12'!$C$7:$C$83,$E17,'прогноз на 20.05.12'!I$7:I$83)+SUMIF('прогноз на 20.05.12'!$C$7:$C$83,$G17,'прогноз на 20.05.12'!I$7:I$83)+SUMIF('прогноз на 20.05.12'!$C$7:$C$83,$I17,'прогноз на 20.05.12'!I$7:I$83)+SUMIF('прогноз на 20.05.12'!$C$7:$C$83,$K17,'прогноз на 20.05.12'!I$7:I$83)</f>
        <v>14</v>
      </c>
      <c r="R17" s="41">
        <f>SUMIF('прогноз на 20.05.12'!$C$7:$C$83,$C17,'прогноз на 20.05.12'!J$7:J$83)+SUMIF('прогноз на 20.05.12'!$C$7:$C$83,$E17,'прогноз на 20.05.12'!J$7:J$83)+SUMIF('прогноз на 20.05.12'!$C$7:$C$83,$G17,'прогноз на 20.05.12'!J$7:J$83)+SUMIF('прогноз на 20.05.12'!$C$7:$C$83,$I17,'прогноз на 20.05.12'!J$7:J$83)+SUMIF('прогноз на 20.05.12'!$C$7:$C$83,$K17,'прогноз на 20.05.12'!J$7:J$83)</f>
        <v>4</v>
      </c>
      <c r="S17" s="45">
        <f t="shared" si="7"/>
        <v>28</v>
      </c>
      <c r="T17" s="41">
        <f>SUMIF('прогноз на 20.05.12'!$C$7:$C$83,$C17,'прогноз на 20.05.12'!L$7:L$83)+SUMIF('прогноз на 20.05.12'!$C$7:$C$83,$E17,'прогноз на 20.05.12'!L$7:L$83)+SUMIF('прогноз на 20.05.12'!$C$7:$C$83,$G17,'прогноз на 20.05.12'!L$7:L$83)+SUMIF('прогноз на 20.05.12'!$C$7:$C$83,$I17,'прогноз на 20.05.12'!L$7:L$83)+SUMIF('прогноз на 20.05.12'!$C$7:$C$83,$K17,'прогноз на 20.05.12'!L$7:L$83)</f>
        <v>3</v>
      </c>
      <c r="U17" s="41">
        <f>SUMIF('прогноз на 20.05.12'!$C$7:$C$83,$C17,'прогноз на 20.05.12'!M$7:M$83)+SUMIF('прогноз на 20.05.12'!$C$7:$C$83,$E17,'прогноз на 20.05.12'!M$7:M$83)+SUMIF('прогноз на 20.05.12'!$C$7:$C$83,$G17,'прогноз на 20.05.12'!M$7:M$83)+SUMIF('прогноз на 20.05.12'!$C$7:$C$83,$I17,'прогноз на 20.05.12'!M$7:M$83)+SUMIF('прогноз на 20.05.12'!$C$7:$C$83,$K17,'прогноз на 20.05.12'!M$7:M$83)</f>
        <v>2</v>
      </c>
      <c r="V17" s="41">
        <f>SUMIF('прогноз на 20.05.12'!$C$7:$C$83,$C17,'прогноз на 20.05.12'!N$7:N$83)+SUMIF('прогноз на 20.05.12'!$C$7:$C$83,$E17,'прогноз на 20.05.12'!N$7:N$83)+SUMIF('прогноз на 20.05.12'!$C$7:$C$83,$G17,'прогноз на 20.05.12'!N$7:N$83)+SUMIF('прогноз на 20.05.12'!$C$7:$C$83,$I17,'прогноз на 20.05.12'!N$7:N$83)+SUMIF('прогноз на 20.05.12'!$C$7:$C$83,$K17,'прогноз на 20.05.12'!N$7:N$83)</f>
        <v>1</v>
      </c>
      <c r="W17" s="45">
        <f t="shared" si="8"/>
        <v>6</v>
      </c>
      <c r="X17" s="41">
        <f>SUMIF('прогноз на 20.05.12'!$C$7:$C$83,$C17,'прогноз на 20.05.12'!P$7:P$83)+SUMIF('прогноз на 20.05.12'!$C$7:$C$83,$E17,'прогноз на 20.05.12'!P$7:P$83)+SUMIF('прогноз на 20.05.12'!$C$7:$C$83,$G17,'прогноз на 20.05.12'!P$7:P$83)+SUMIF('прогноз на 20.05.12'!$C$7:$C$83,$I17,'прогноз на 20.05.12'!P$7:P$83)+SUMIF('прогноз на 20.05.12'!$C$7:$C$83,$K17,'прогноз на 20.05.12'!P$7:P$83)</f>
        <v>6</v>
      </c>
      <c r="Y17" s="41">
        <f>SUMIF('прогноз на 20.05.12'!$C$7:$C$83,$C17,'прогноз на 20.05.12'!Q$7:Q$83)+SUMIF('прогноз на 20.05.12'!$C$7:$C$83,$E17,'прогноз на 20.05.12'!Q$7:Q$83)+SUMIF('прогноз на 20.05.12'!$C$7:$C$83,$G17,'прогноз на 20.05.12'!Q$7:Q$83)+SUMIF('прогноз на 20.05.12'!$C$7:$C$83,$I17,'прогноз на 20.05.12'!Q$7:Q$83)+SUMIF('прогноз на 20.05.12'!$C$7:$C$83,$K17,'прогноз на 20.05.12'!Q$7:Q$83)</f>
        <v>150</v>
      </c>
      <c r="Z17" s="41">
        <f>SUMIF('прогноз на 20.05.12'!$C$7:$C$83,$C17,'прогноз на 20.05.12'!R$7:R$83)+SUMIF('прогноз на 20.05.12'!$C$7:$C$83,$E17,'прогноз на 20.05.12'!R$7:R$83)+SUMIF('прогноз на 20.05.12'!$C$7:$C$83,$G17,'прогноз на 20.05.12'!R$7:R$83)+SUMIF('прогноз на 20.05.12'!$C$7:$C$83,$I17,'прогноз на 20.05.12'!R$7:R$83)+SUMIF('прогноз на 20.05.12'!$C$7:$C$83,$K17,'прогноз на 20.05.12'!R$7:R$83)</f>
        <v>0</v>
      </c>
      <c r="AA17" s="41">
        <f>SUMIF('прогноз на 20.05.12'!$C$7:$C$83,$C17,'прогноз на 20.05.12'!S$7:S$83)+SUMIF('прогноз на 20.05.12'!$C$7:$C$83,$E17,'прогноз на 20.05.12'!S$7:S$83)+SUMIF('прогноз на 20.05.12'!$C$7:$C$83,$G17,'прогноз на 20.05.12'!S$7:S$83)+SUMIF('прогноз на 20.05.12'!$C$7:$C$83,$I17,'прогноз на 20.05.12'!S$7:S$83)+SUMIF('прогноз на 20.05.12'!$C$7:$C$83,$K17,'прогноз на 20.05.12'!S$7:S$83)</f>
        <v>250</v>
      </c>
      <c r="AB17" s="41">
        <f>SUMIF('прогноз на 20.05.12'!$C$7:$C$83,$C17,'прогноз на 20.05.12'!T$7:T$83)+SUMIF('прогноз на 20.05.12'!$C$7:$C$83,$E17,'прогноз на 20.05.12'!T$7:T$83)+SUMIF('прогноз на 20.05.12'!$C$7:$C$83,$G17,'прогноз на 20.05.12'!T$7:T$83)+SUMIF('прогноз на 20.05.12'!$C$7:$C$83,$I17,'прогноз на 20.05.12'!T$7:T$83)+SUMIF('прогноз на 20.05.12'!$C$7:$C$83,$K17,'прогноз на 20.05.12'!T$7:T$83)</f>
        <v>350</v>
      </c>
      <c r="AC17" s="41">
        <f>SUMIF('прогноз на 20.05.12'!$C$7:$C$83,$C17,'прогноз на 20.05.12'!U$7:U$83)+SUMIF('прогноз на 20.05.12'!$C$7:$C$83,$E17,'прогноз на 20.05.12'!U$7:U$83)+SUMIF('прогноз на 20.05.12'!$C$7:$C$83,$G17,'прогноз на 20.05.12'!U$7:U$83)+SUMIF('прогноз на 20.05.12'!$C$7:$C$83,$I17,'прогноз на 20.05.12'!U$7:U$83)+SUMIF('прогноз на 20.05.12'!$C$7:$C$83,$K17,'прогноз на 20.05.12'!U$7:U$83)</f>
        <v>100</v>
      </c>
      <c r="AD17" s="41">
        <f>SUMIF('прогноз на 20.05.12'!$C$7:$C$83,$C17,'прогноз на 20.05.12'!V$7:V$83)+SUMIF('прогноз на 20.05.12'!$C$7:$C$83,$E17,'прогноз на 20.05.12'!V$7:V$83)+SUMIF('прогноз на 20.05.12'!$C$7:$C$83,$G17,'прогноз на 20.05.12'!V$7:V$83)+SUMIF('прогноз на 20.05.12'!$C$7:$C$83,$I17,'прогноз на 20.05.12'!V$7:V$83)+SUMIF('прогноз на 20.05.12'!$C$7:$C$83,$K17,'прогноз на 20.05.12'!V$7:V$83)</f>
        <v>700</v>
      </c>
      <c r="AE17" s="41">
        <f>SUMIF('прогноз на 20.05.12'!$C$7:$C$83,$C17,'прогноз на 20.05.12'!W$7:W$83)+SUMIF('прогноз на 20.05.12'!$C$7:$C$83,$E17,'прогноз на 20.05.12'!W$7:W$83)+SUMIF('прогноз на 20.05.12'!$C$7:$C$83,$G17,'прогноз на 20.05.12'!W$7:W$83)+SUMIF('прогноз на 20.05.12'!$C$7:$C$83,$I17,'прогноз на 20.05.12'!W$7:W$83)+SUMIF('прогноз на 20.05.12'!$C$7:$C$83,$K17,'прогноз на 20.05.12'!W$7:W$83)</f>
        <v>21</v>
      </c>
      <c r="AF17" s="41">
        <f>SUMIF('прогноз на 20.05.12'!$C$7:$C$83,$C17,'прогноз на 20.05.12'!X$7:X$83)+SUMIF('прогноз на 20.05.12'!$C$7:$C$83,$E17,'прогноз на 20.05.12'!X$7:X$83)+SUMIF('прогноз на 20.05.12'!$C$7:$C$83,$G17,'прогноз на 20.05.12'!X$7:X$83)+SUMIF('прогноз на 20.05.12'!$C$7:$C$83,$I17,'прогноз на 20.05.12'!X$7:X$83)+SUMIF('прогноз на 20.05.12'!$C$7:$C$83,$K17,'прогноз на 20.05.12'!X$7:X$83)</f>
        <v>32</v>
      </c>
      <c r="AG17" s="41">
        <f>SUMIF('прогноз на 20.05.12'!$C$7:$C$83,$C17,'прогноз на 20.05.12'!Y$7:Y$83)+SUMIF('прогноз на 20.05.12'!$C$7:$C$83,$E17,'прогноз на 20.05.12'!Y$7:Y$83)+SUMIF('прогноз на 20.05.12'!$C$7:$C$83,$G17,'прогноз на 20.05.12'!Y$7:Y$83)+SUMIF('прогноз на 20.05.12'!$C$7:$C$83,$I17,'прогноз на 20.05.12'!Y$7:Y$83)+SUMIF('прогноз на 20.05.12'!$C$7:$C$83,$K17,'прогноз на 20.05.12'!Y$7:Y$83)</f>
        <v>0</v>
      </c>
      <c r="AH17" s="41">
        <f>SUMIF('прогноз на 20.05.12'!$C$7:$C$83,$C17,'прогноз на 20.05.12'!Z$7:Z$83)+SUMIF('прогноз на 20.05.12'!$C$7:$C$83,$E17,'прогноз на 20.05.12'!Z$7:Z$83)+SUMIF('прогноз на 20.05.12'!$C$7:$C$83,$G17,'прогноз на 20.05.12'!Z$7:Z$83)+SUMIF('прогноз на 20.05.12'!$C$7:$C$83,$I17,'прогноз на 20.05.12'!Z$7:Z$83)+SUMIF('прогноз на 20.05.12'!$C$7:$C$83,$K17,'прогноз на 20.05.12'!Z$7:Z$83)</f>
        <v>53</v>
      </c>
      <c r="AI17" s="41">
        <f>SUMIF('прогноз на 20.05.12'!$C$7:$C$83,$C17,'прогноз на 20.05.12'!AA$7:AA$83)+SUMIF('прогноз на 20.05.12'!$C$7:$C$83,$E17,'прогноз на 20.05.12'!AA$7:AA$83)+SUMIF('прогноз на 20.05.12'!$C$7:$C$83,$G17,'прогноз на 20.05.12'!AA$7:AA$83)+SUMIF('прогноз на 20.05.12'!$C$7:$C$83,$I17,'прогноз на 20.05.12'!AA$7:AA$83)+SUMIF('прогноз на 20.05.12'!$C$7:$C$83,$K17,'прогноз на 20.05.12'!AA$7:AA$83)</f>
        <v>15.75</v>
      </c>
      <c r="AJ17" s="41">
        <f>SUMIF('прогноз на 20.05.12'!$C$7:$C$83,$C17,'прогноз на 20.05.12'!AB$7:AB$83)+SUMIF('прогноз на 20.05.12'!$C$7:$C$83,$E17,'прогноз на 20.05.12'!AB$7:AB$83)+SUMIF('прогноз на 20.05.12'!$C$7:$C$83,$G17,'прогноз на 20.05.12'!AB$7:AB$83)+SUMIF('прогноз на 20.05.12'!$C$7:$C$83,$I17,'прогноз на 20.05.12'!AB$7:AB$83)+SUMIF('прогноз на 20.05.12'!$C$7:$C$83,$K17,'прогноз на 20.05.12'!AB$7:AB$83)</f>
        <v>24</v>
      </c>
      <c r="AK17" s="41">
        <f>SUMIF('прогноз на 20.05.12'!$C$7:$C$83,$C17,'прогноз на 20.05.12'!AC$7:AC$83)+SUMIF('прогноз на 20.05.12'!$C$7:$C$83,$E17,'прогноз на 20.05.12'!AC$7:AC$83)+SUMIF('прогноз на 20.05.12'!$C$7:$C$83,$G17,'прогноз на 20.05.12'!AC$7:AC$83)+SUMIF('прогноз на 20.05.12'!$C$7:$C$83,$I17,'прогноз на 20.05.12'!AC$7:AC$83)+SUMIF('прогноз на 20.05.12'!$C$7:$C$83,$K17,'прогноз на 20.05.12'!AC$7:AC$83)</f>
        <v>0</v>
      </c>
      <c r="AL17" s="41">
        <f>SUMIF('прогноз на 20.05.12'!$C$7:$C$83,$C17,'прогноз на 20.05.12'!AD$7:AD$83)+SUMIF('прогноз на 20.05.12'!$C$7:$C$83,$E17,'прогноз на 20.05.12'!AD$7:AD$83)+SUMIF('прогноз на 20.05.12'!$C$7:$C$83,$G17,'прогноз на 20.05.12'!AD$7:AD$83)+SUMIF('прогноз на 20.05.12'!$C$7:$C$83,$I17,'прогноз на 20.05.12'!AD$7:AD$83)+SUMIF('прогноз на 20.05.12'!$C$7:$C$83,$K17,'прогноз на 20.05.12'!AD$7:AD$83)</f>
        <v>39.75</v>
      </c>
      <c r="AM17" s="41">
        <f>SUMIF('прогноз на 20.05.12'!$C$7:$C$83,$C17,'прогноз на 20.05.12'!AE$7:AE$83)+SUMIF('прогноз на 20.05.12'!$C$7:$C$83,$E17,'прогноз на 20.05.12'!AE$7:AE$83)+SUMIF('прогноз на 20.05.12'!$C$7:$C$83,$G17,'прогноз на 20.05.12'!AE$7:AE$83)+SUMIF('прогноз на 20.05.12'!$C$7:$C$83,$I17,'прогноз на 20.05.12'!AE$7:AE$83)+SUMIF('прогноз на 20.05.12'!$C$7:$C$83,$K17,'прогноз на 20.05.12'!AE$7:AE$83)</f>
        <v>244.75</v>
      </c>
      <c r="AN17" s="41">
        <f>SUMIF('прогноз на 20.05.12'!$C$7:$C$83,$C17,'прогноз на 20.05.12'!AF$7:AF$83)+SUMIF('прогноз на 20.05.12'!$C$7:$C$83,$E17,'прогноз на 20.05.12'!AF$7:AF$83)+SUMIF('прогноз на 20.05.12'!$C$7:$C$83,$G17,'прогноз на 20.05.12'!AF$7:AF$83)+SUMIF('прогноз на 20.05.12'!$C$7:$C$83,$I17,'прогноз на 20.05.12'!AF$7:AF$83)+SUMIF('прогноз на 20.05.12'!$C$7:$C$83,$K17,'прогноз на 20.05.12'!AF$7:AF$83)</f>
        <v>342</v>
      </c>
      <c r="AO17" s="41">
        <f>SUMIF('прогноз на 20.05.12'!$C$7:$C$83,$C17,'прогноз на 20.05.12'!AG$7:AG$83)+SUMIF('прогноз на 20.05.12'!$C$7:$C$83,$E17,'прогноз на 20.05.12'!AG$7:AG$83)+SUMIF('прогноз на 20.05.12'!$C$7:$C$83,$G17,'прогноз на 20.05.12'!AG$7:AG$83)+SUMIF('прогноз на 20.05.12'!$C$7:$C$83,$I17,'прогноз на 20.05.12'!AG$7:AG$83)+SUMIF('прогноз на 20.05.12'!$C$7:$C$83,$K17,'прогноз на 20.05.12'!AG$7:AG$83)</f>
        <v>100</v>
      </c>
      <c r="AP17" s="41">
        <f>SUMIF('прогноз на 20.05.12'!$C$7:$C$83,$C17,'прогноз на 20.05.12'!AH$7:AH$83)+SUMIF('прогноз на 20.05.12'!$C$7:$C$83,$E17,'прогноз на 20.05.12'!AH$7:AH$83)+SUMIF('прогноз на 20.05.12'!$C$7:$C$83,$G17,'прогноз на 20.05.12'!AH$7:AH$83)+SUMIF('прогноз на 20.05.12'!$C$7:$C$83,$I17,'прогноз на 20.05.12'!AH$7:AH$83)+SUMIF('прогноз на 20.05.12'!$C$7:$C$83,$K17,'прогноз на 20.05.12'!AH$7:AH$83)</f>
        <v>686.75</v>
      </c>
      <c r="AQ17" s="41">
        <f>SUMIF('прогноз на 20.05.12'!$C$7:$C$83,$C17,'прогноз на 20.05.12'!AM$7:AM$83)+SUMIF('прогноз на 20.05.12'!$C$7:$C$83,$E17,'прогноз на 20.05.12'!AM$7:AM$83)+SUMIF('прогноз на 20.05.12'!$C$7:$C$83,$G17,'прогноз на 20.05.12'!AM$7:AM$83)+SUMIF('прогноз на 20.05.12'!$C$7:$C$83,$I17,'прогноз на 20.05.12'!AM$7:AM$83)+SUMIF('прогноз на 20.05.12'!$C$7:$C$83,$K17,'прогноз на 20.05.12'!AM$7:AM$83)</f>
        <v>207805.5</v>
      </c>
      <c r="AR17" s="41">
        <f>SUMIF('прогноз на 20.05.12'!$C$7:$C$83,$C17,'прогноз на 20.05.12'!AN$7:AN$83)+SUMIF('прогноз на 20.05.12'!$C$7:$C$83,$E17,'прогноз на 20.05.12'!AN$7:AN$83)+SUMIF('прогноз на 20.05.12'!$C$7:$C$83,$G17,'прогноз на 20.05.12'!AN$7:AN$83)+SUMIF('прогноз на 20.05.12'!$C$7:$C$83,$I17,'прогноз на 20.05.12'!AN$7:AN$83)+SUMIF('прогноз на 20.05.12'!$C$7:$C$83,$K17,'прогноз на 20.05.12'!AN$7:AN$83)</f>
        <v>526320</v>
      </c>
      <c r="AS17" s="41">
        <f>SUMIF('прогноз на 20.05.12'!$C$7:$C$83,$C17,'прогноз на 20.05.12'!AO$7:AO$83)+SUMIF('прогноз на 20.05.12'!$C$7:$C$83,$E17,'прогноз на 20.05.12'!AO$7:AO$83)+SUMIF('прогноз на 20.05.12'!$C$7:$C$83,$G17,'прогноз на 20.05.12'!AO$7:AO$83)+SUMIF('прогноз на 20.05.12'!$C$7:$C$83,$I17,'прогноз на 20.05.12'!AO$7:AO$83)+SUMIF('прогноз на 20.05.12'!$C$7:$C$83,$K17,'прогноз на 20.05.12'!AO$7:AO$83)</f>
        <v>0</v>
      </c>
      <c r="AT17" s="41">
        <f>SUMIF('прогноз на 20.05.12'!$C$7:$C$83,$C17,'прогноз на 20.05.12'!AP$7:AP$83)+SUMIF('прогноз на 20.05.12'!$C$7:$C$83,$E17,'прогноз на 20.05.12'!AP$7:AP$83)+SUMIF('прогноз на 20.05.12'!$C$7:$C$83,$G17,'прогноз на 20.05.12'!AP$7:AP$83)+SUMIF('прогноз на 20.05.12'!$C$7:$C$83,$I17,'прогноз на 20.05.12'!AP$7:AP$83)+SUMIF('прогноз на 20.05.12'!$C$7:$C$83,$K17,'прогноз на 20.05.12'!AP$7:AP$83)</f>
        <v>734125.5</v>
      </c>
      <c r="AU17" s="41">
        <f>SUMIF('прогноз на 20.05.12'!$C$7:$C$83,$C17,'прогноз на 20.05.12'!AU$7:AU$83)+SUMIF('прогноз на 20.05.12'!$C$7:$C$83,$E17,'прогноз на 20.05.12'!AU$7:AU$83)+SUMIF('прогноз на 20.05.12'!$C$7:$C$83,$G17,'прогноз на 20.05.12'!AU$7:AU$83)+SUMIF('прогноз на 20.05.12'!$C$7:$C$83,$I17,'прогноз на 20.05.12'!AU$7:AU$83)+SUMIF('прогноз на 20.05.12'!$C$7:$C$83,$K17,'прогноз на 20.05.12'!AU$7:AU$83)</f>
        <v>13261.5</v>
      </c>
      <c r="AV17" s="41">
        <f>SUMIF('прогноз на 20.05.12'!$C$7:$C$83,$C17,'прогноз на 20.05.12'!AV$7:AV$83)+SUMIF('прогноз на 20.05.12'!$C$7:$C$83,$E17,'прогноз на 20.05.12'!AV$7:AV$83)+SUMIF('прогноз на 20.05.12'!$C$7:$C$83,$G17,'прогноз на 20.05.12'!AV$7:AV$83)+SUMIF('прогноз на 20.05.12'!$C$7:$C$83,$I17,'прогноз на 20.05.12'!AV$7:AV$83)+SUMIF('прогноз на 20.05.12'!$C$7:$C$83,$K17,'прогноз на 20.05.12'!AV$7:AV$83)</f>
        <v>21984</v>
      </c>
      <c r="AW17" s="41">
        <f>SUMIF('прогноз на 20.05.12'!$C$7:$C$83,$C17,'прогноз на 20.05.12'!AW$7:AW$83)+SUMIF('прогноз на 20.05.12'!$C$7:$C$83,$E17,'прогноз на 20.05.12'!AW$7:AW$83)+SUMIF('прогноз на 20.05.12'!$C$7:$C$83,$G17,'прогноз на 20.05.12'!AW$7:AW$83)+SUMIF('прогноз на 20.05.12'!$C$7:$C$83,$I17,'прогноз на 20.05.12'!AW$7:AW$83)+SUMIF('прогноз на 20.05.12'!$C$7:$C$83,$K17,'прогноз на 20.05.12'!AW$7:AW$83)</f>
        <v>0</v>
      </c>
      <c r="AX17" s="41">
        <f>SUMIF('прогноз на 20.05.12'!$C$7:$C$83,$C17,'прогноз на 20.05.12'!AX$7:AX$83)+SUMIF('прогноз на 20.05.12'!$C$7:$C$83,$E17,'прогноз на 20.05.12'!AX$7:AX$83)+SUMIF('прогноз на 20.05.12'!$C$7:$C$83,$G17,'прогноз на 20.05.12'!AX$7:AX$83)+SUMIF('прогноз на 20.05.12'!$C$7:$C$83,$I17,'прогноз на 20.05.12'!AX$7:AX$83)+SUMIF('прогноз на 20.05.12'!$C$7:$C$83,$K17,'прогноз на 20.05.12'!AX$7:AX$83)</f>
        <v>35245.5</v>
      </c>
      <c r="AY17" s="41">
        <f>SUMIF('прогноз на 20.05.12'!$C$7:$C$83,$C17,'прогноз на 20.05.12'!AY$7:AY$83)+SUMIF('прогноз на 20.05.12'!$C$7:$C$83,$E17,'прогноз на 20.05.12'!AY$7:AY$83)+SUMIF('прогноз на 20.05.12'!$C$7:$C$83,$G17,'прогноз на 20.05.12'!AY$7:AY$83)+SUMIF('прогноз на 20.05.12'!$C$7:$C$83,$I17,'прогноз на 20.05.12'!AY$7:AY$83)+SUMIF('прогноз на 20.05.12'!$C$7:$C$83,$K17,'прогноз на 20.05.12'!AY$7:AY$83)</f>
        <v>221067</v>
      </c>
      <c r="AZ17" s="41">
        <f>SUMIF('прогноз на 20.05.12'!$C$7:$C$83,$C17,'прогноз на 20.05.12'!AZ$7:AZ$83)+SUMIF('прогноз на 20.05.12'!$C$7:$C$83,$E17,'прогноз на 20.05.12'!AZ$7:AZ$83)+SUMIF('прогноз на 20.05.12'!$C$7:$C$83,$G17,'прогноз на 20.05.12'!AZ$7:AZ$83)+SUMIF('прогноз на 20.05.12'!$C$7:$C$83,$I17,'прогноз на 20.05.12'!AZ$7:AZ$83)+SUMIF('прогноз на 20.05.12'!$C$7:$C$83,$K17,'прогноз на 20.05.12'!AZ$7:AZ$83)</f>
        <v>548304</v>
      </c>
      <c r="BA17" s="41">
        <f>SUMIF('прогноз на 20.05.12'!$C$7:$C$83,$C17,'прогноз на 20.05.12'!BA$7:BA$83)+SUMIF('прогноз на 20.05.12'!$C$7:$C$83,$E17,'прогноз на 20.05.12'!BA$7:BA$83)+SUMIF('прогноз на 20.05.12'!$C$7:$C$83,$G17,'прогноз на 20.05.12'!BA$7:BA$83)+SUMIF('прогноз на 20.05.12'!$C$7:$C$83,$I17,'прогноз на 20.05.12'!BA$7:BA$83)+SUMIF('прогноз на 20.05.12'!$C$7:$C$83,$K17,'прогноз на 20.05.12'!BA$7:BA$83)</f>
        <v>0</v>
      </c>
      <c r="BB17" s="41">
        <f>SUMIF('прогноз на 20.05.12'!$C$7:$C$83,$C17,'прогноз на 20.05.12'!BB$7:BB$83)+SUMIF('прогноз на 20.05.12'!$C$7:$C$83,$E17,'прогноз на 20.05.12'!BB$7:BB$83)+SUMIF('прогноз на 20.05.12'!$C$7:$C$83,$G17,'прогноз на 20.05.12'!BB$7:BB$83)+SUMIF('прогноз на 20.05.12'!$C$7:$C$83,$I17,'прогноз на 20.05.12'!BB$7:BB$83)+SUMIF('прогноз на 20.05.12'!$C$7:$C$83,$K17,'прогноз на 20.05.12'!BB$7:BB$83)</f>
        <v>769371</v>
      </c>
      <c r="BC17" s="41">
        <f>SUMIF('прогноз на 20.05.12'!$C$7:$C$83,$C17,'прогноз на 20.05.12'!BC$7:BC$83)+SUMIF('прогноз на 20.05.12'!$C$7:$C$83,$E17,'прогноз на 20.05.12'!BC$7:BC$83)+SUMIF('прогноз на 20.05.12'!$C$7:$C$83,$G17,'прогноз на 20.05.12'!BC$7:BC$83)+SUMIF('прогноз на 20.05.12'!$C$7:$C$83,$I17,'прогноз на 20.05.12'!BC$7:BC$83)+SUMIF('прогноз на 20.05.12'!$C$7:$C$83,$K17,'прогноз на 20.05.12'!BC$7:BC$83)</f>
        <v>1869411</v>
      </c>
      <c r="BD17" s="41">
        <f>SUMIF('прогноз на 20.05.12'!$C$7:$C$83,$C17,'прогноз на 20.05.12'!BD$7:BD$83)+SUMIF('прогноз на 20.05.12'!$C$7:$C$83,$E17,'прогноз на 20.05.12'!BD$7:BD$83)+SUMIF('прогноз на 20.05.12'!$C$7:$C$83,$G17,'прогноз на 20.05.12'!BD$7:BD$83)+SUMIF('прогноз на 20.05.12'!$C$7:$C$83,$I17,'прогноз на 20.05.12'!BD$7:BD$83)+SUMIF('прогноз на 20.05.12'!$C$7:$C$83,$K17,'прогноз на 20.05.12'!BD$7:BD$83)</f>
        <v>1869411</v>
      </c>
      <c r="BE17" s="41">
        <f>SUMIF('прогноз на 20.05.12'!$C$7:$C$83,$C17,'прогноз на 20.05.12'!BE$7:BE$83)+SUMIF('прогноз на 20.05.12'!$C$7:$C$83,$E17,'прогноз на 20.05.12'!BE$7:BE$83)+SUMIF('прогноз на 20.05.12'!$C$7:$C$83,$G17,'прогноз на 20.05.12'!BE$7:BE$83)+SUMIF('прогноз на 20.05.12'!$C$7:$C$83,$I17,'прогноз на 20.05.12'!BE$7:BE$83)+SUMIF('прогноз на 20.05.12'!$C$7:$C$83,$K17,'прогноз на 20.05.12'!BE$7:BE$83)</f>
        <v>0</v>
      </c>
      <c r="BF17" s="41">
        <f>SUMIF('прогноз на 20.05.12'!$C$7:$C$83,$C17,'прогноз на 20.05.12'!BF$7:BF$83)+SUMIF('прогноз на 20.05.12'!$C$7:$C$83,$E17,'прогноз на 20.05.12'!BF$7:BF$83)+SUMIF('прогноз на 20.05.12'!$C$7:$C$83,$G17,'прогноз на 20.05.12'!BF$7:BF$83)+SUMIF('прогноз на 20.05.12'!$C$7:$C$83,$I17,'прогноз на 20.05.12'!BF$7:BF$83)+SUMIF('прогноз на 20.05.12'!$C$7:$C$83,$K17,'прогноз на 20.05.12'!BF$7:BF$83)</f>
        <v>1100040</v>
      </c>
      <c r="BG17" s="41">
        <f>SUMIF('прогноз на 20.05.12'!$C$7:$C$83,$C17,'прогноз на 20.05.12'!BG$7:BG$83)+SUMIF('прогноз на 20.05.12'!$C$7:$C$83,$E17,'прогноз на 20.05.12'!BG$7:BG$83)+SUMIF('прогноз на 20.05.12'!$C$7:$C$83,$G17,'прогноз на 20.05.12'!BG$7:BG$83)+SUMIF('прогноз на 20.05.12'!$C$7:$C$83,$I17,'прогноз на 20.05.12'!BG$7:BG$83)+SUMIF('прогноз на 20.05.12'!$C$7:$C$83,$K17,'прогноз на 20.05.12'!BG$7:BG$83)</f>
        <v>1100040</v>
      </c>
      <c r="BH17" s="41">
        <f>SUMIF('прогноз на 20.05.12'!$C$7:$C$83,$C17,'прогноз на 20.05.12'!BH$7:BH$83)+SUMIF('прогноз на 20.05.12'!$C$7:$C$83,$E17,'прогноз на 20.05.12'!BH$7:BH$83)+SUMIF('прогноз на 20.05.12'!$C$7:$C$83,$G17,'прогноз на 20.05.12'!BH$7:BH$83)+SUMIF('прогноз на 20.05.12'!$C$7:$C$83,$I17,'прогноз на 20.05.12'!BH$7:BH$83)+SUMIF('прогноз на 20.05.12'!$C$7:$C$83,$K17,'прогноз на 20.05.12'!BH$7:BH$83)</f>
        <v>0</v>
      </c>
      <c r="BI17" s="90">
        <f t="shared" si="10"/>
        <v>22.9</v>
      </c>
      <c r="BJ17" s="90">
        <f t="shared" si="11"/>
        <v>22.714285714285715</v>
      </c>
      <c r="BK17" s="90">
        <f t="shared" si="12"/>
        <v>25</v>
      </c>
      <c r="BL17" s="90">
        <f t="shared" si="13"/>
        <v>23.107142857142858</v>
      </c>
    </row>
    <row r="18" spans="1:64" s="59" customFormat="1" ht="18.75">
      <c r="A18" s="38">
        <v>12</v>
      </c>
      <c r="B18" s="39" t="s">
        <v>55</v>
      </c>
      <c r="C18" s="40" t="s">
        <v>211</v>
      </c>
      <c r="D18" s="58"/>
      <c r="E18" s="58"/>
      <c r="F18" s="58"/>
      <c r="G18" s="58"/>
      <c r="H18" s="58"/>
      <c r="I18" s="58"/>
      <c r="J18" s="58"/>
      <c r="K18" s="58"/>
      <c r="L18" s="41">
        <f>SUMIF('прогноз на 20.05.12'!$C$7:$C$83,$C18,'прогноз на 20.05.12'!D$7:D$83)+SUMIF('прогноз на 20.05.12'!$C$7:$C$83,$E18,'прогноз на 20.05.12'!D$7:D$83)+SUMIF('прогноз на 20.05.12'!$C$7:$C$83,$G18,'прогноз на 20.05.12'!D$7:D$83)+SUMIF('прогноз на 20.05.12'!$C$7:$C$83,$I18,'прогноз на 20.05.12'!D$7:D$83)+SUMIF('прогноз на 20.05.12'!$C$7:$C$83,$K18,'прогноз на 20.05.12'!D$7:D$83)</f>
        <v>28</v>
      </c>
      <c r="M18" s="41">
        <f>SUMIF('прогноз на 20.05.12'!$C$7:$C$83,$C18,'прогноз на 20.05.12'!E$7:E$83)+SUMIF('прогноз на 20.05.12'!$C$7:$C$83,$E18,'прогноз на 20.05.12'!E$7:E$83)+SUMIF('прогноз на 20.05.12'!$C$7:$C$83,$G18,'прогноз на 20.05.12'!E$7:E$83)+SUMIF('прогноз на 20.05.12'!$C$7:$C$83,$I18,'прогноз на 20.05.12'!E$7:E$83)+SUMIF('прогноз на 20.05.12'!$C$7:$C$83,$K18,'прогноз на 20.05.12'!E$7:E$83)</f>
        <v>41</v>
      </c>
      <c r="N18" s="41">
        <f>SUMIF('прогноз на 20.05.12'!$C$7:$C$83,$C18,'прогноз на 20.05.12'!F$7:F$83)+SUMIF('прогноз на 20.05.12'!$C$7:$C$83,$E18,'прогноз на 20.05.12'!F$7:F$83)+SUMIF('прогноз на 20.05.12'!$C$7:$C$83,$G18,'прогноз на 20.05.12'!F$7:F$83)+SUMIF('прогноз на 20.05.12'!$C$7:$C$83,$I18,'прогноз на 20.05.12'!F$7:F$83)+SUMIF('прогноз на 20.05.12'!$C$7:$C$83,$K18,'прогноз на 20.05.12'!F$7:F$83)</f>
        <v>27</v>
      </c>
      <c r="O18" s="44">
        <f t="shared" si="6"/>
        <v>96</v>
      </c>
      <c r="P18" s="41">
        <f>SUMIF('прогноз на 20.05.12'!$C$7:$C$83,$C18,'прогноз на 20.05.12'!H$7:H$83)+SUMIF('прогноз на 20.05.12'!$C$7:$C$83,$E18,'прогноз на 20.05.12'!H$7:H$83)+SUMIF('прогноз на 20.05.12'!$C$7:$C$83,$G18,'прогноз на 20.05.12'!H$7:H$83)+SUMIF('прогноз на 20.05.12'!$C$7:$C$83,$I18,'прогноз на 20.05.12'!H$7:H$83)+SUMIF('прогноз на 20.05.12'!$C$7:$C$83,$K18,'прогноз на 20.05.12'!H$7:H$83)</f>
        <v>3</v>
      </c>
      <c r="Q18" s="41">
        <f>SUMIF('прогноз на 20.05.12'!$C$7:$C$83,$C18,'прогноз на 20.05.12'!I$7:I$83)+SUMIF('прогноз на 20.05.12'!$C$7:$C$83,$E18,'прогноз на 20.05.12'!I$7:I$83)+SUMIF('прогноз на 20.05.12'!$C$7:$C$83,$G18,'прогноз на 20.05.12'!I$7:I$83)+SUMIF('прогноз на 20.05.12'!$C$7:$C$83,$I18,'прогноз на 20.05.12'!I$7:I$83)+SUMIF('прогноз на 20.05.12'!$C$7:$C$83,$K18,'прогноз на 20.05.12'!I$7:I$83)</f>
        <v>5</v>
      </c>
      <c r="R18" s="41">
        <f>SUMIF('прогноз на 20.05.12'!$C$7:$C$83,$C18,'прогноз на 20.05.12'!J$7:J$83)+SUMIF('прогноз на 20.05.12'!$C$7:$C$83,$E18,'прогноз на 20.05.12'!J$7:J$83)+SUMIF('прогноз на 20.05.12'!$C$7:$C$83,$G18,'прогноз на 20.05.12'!J$7:J$83)+SUMIF('прогноз на 20.05.12'!$C$7:$C$83,$I18,'прогноз на 20.05.12'!J$7:J$83)+SUMIF('прогноз на 20.05.12'!$C$7:$C$83,$K18,'прогноз на 20.05.12'!J$7:J$83)</f>
        <v>2</v>
      </c>
      <c r="S18" s="45">
        <f t="shared" si="7"/>
        <v>10</v>
      </c>
      <c r="T18" s="41">
        <f>SUMIF('прогноз на 20.05.12'!$C$7:$C$83,$C18,'прогноз на 20.05.12'!L$7:L$83)+SUMIF('прогноз на 20.05.12'!$C$7:$C$83,$E18,'прогноз на 20.05.12'!L$7:L$83)+SUMIF('прогноз на 20.05.12'!$C$7:$C$83,$G18,'прогноз на 20.05.12'!L$7:L$83)+SUMIF('прогноз на 20.05.12'!$C$7:$C$83,$I18,'прогноз на 20.05.12'!L$7:L$83)+SUMIF('прогноз на 20.05.12'!$C$7:$C$83,$K18,'прогноз на 20.05.12'!L$7:L$83)</f>
        <v>0</v>
      </c>
      <c r="U18" s="41">
        <f>SUMIF('прогноз на 20.05.12'!$C$7:$C$83,$C18,'прогноз на 20.05.12'!M$7:M$83)+SUMIF('прогноз на 20.05.12'!$C$7:$C$83,$E18,'прогноз на 20.05.12'!M$7:M$83)+SUMIF('прогноз на 20.05.12'!$C$7:$C$83,$G18,'прогноз на 20.05.12'!M$7:M$83)+SUMIF('прогноз на 20.05.12'!$C$7:$C$83,$I18,'прогноз на 20.05.12'!M$7:M$83)+SUMIF('прогноз на 20.05.12'!$C$7:$C$83,$K18,'прогноз на 20.05.12'!M$7:M$83)</f>
        <v>0</v>
      </c>
      <c r="V18" s="41">
        <f>SUMIF('прогноз на 20.05.12'!$C$7:$C$83,$C18,'прогноз на 20.05.12'!N$7:N$83)+SUMIF('прогноз на 20.05.12'!$C$7:$C$83,$E18,'прогноз на 20.05.12'!N$7:N$83)+SUMIF('прогноз на 20.05.12'!$C$7:$C$83,$G18,'прогноз на 20.05.12'!N$7:N$83)+SUMIF('прогноз на 20.05.12'!$C$7:$C$83,$I18,'прогноз на 20.05.12'!N$7:N$83)+SUMIF('прогноз на 20.05.12'!$C$7:$C$83,$K18,'прогноз на 20.05.12'!N$7:N$83)</f>
        <v>0</v>
      </c>
      <c r="W18" s="45">
        <f t="shared" si="8"/>
        <v>0</v>
      </c>
      <c r="X18" s="41">
        <f>SUMIF('прогноз на 20.05.12'!$C$7:$C$83,$C18,'прогноз на 20.05.12'!P$7:P$83)+SUMIF('прогноз на 20.05.12'!$C$7:$C$83,$E18,'прогноз на 20.05.12'!P$7:P$83)+SUMIF('прогноз на 20.05.12'!$C$7:$C$83,$G18,'прогноз на 20.05.12'!P$7:P$83)+SUMIF('прогноз на 20.05.12'!$C$7:$C$83,$I18,'прогноз на 20.05.12'!P$7:P$83)+SUMIF('прогноз на 20.05.12'!$C$7:$C$83,$K18,'прогноз на 20.05.12'!P$7:P$83)</f>
        <v>1</v>
      </c>
      <c r="Y18" s="41">
        <f>SUMIF('прогноз на 20.05.12'!$C$7:$C$83,$C18,'прогноз на 20.05.12'!Q$7:Q$83)+SUMIF('прогноз на 20.05.12'!$C$7:$C$83,$E18,'прогноз на 20.05.12'!Q$7:Q$83)+SUMIF('прогноз на 20.05.12'!$C$7:$C$83,$G18,'прогноз на 20.05.12'!Q$7:Q$83)+SUMIF('прогноз на 20.05.12'!$C$7:$C$83,$I18,'прогноз на 20.05.12'!Q$7:Q$83)+SUMIF('прогноз на 20.05.12'!$C$7:$C$83,$K18,'прогноз на 20.05.12'!Q$7:Q$83)</f>
        <v>28</v>
      </c>
      <c r="Z18" s="41">
        <f>SUMIF('прогноз на 20.05.12'!$C$7:$C$83,$C18,'прогноз на 20.05.12'!R$7:R$83)+SUMIF('прогноз на 20.05.12'!$C$7:$C$83,$E18,'прогноз на 20.05.12'!R$7:R$83)+SUMIF('прогноз на 20.05.12'!$C$7:$C$83,$G18,'прогноз на 20.05.12'!R$7:R$83)+SUMIF('прогноз на 20.05.12'!$C$7:$C$83,$I18,'прогноз на 20.05.12'!R$7:R$83)+SUMIF('прогноз на 20.05.12'!$C$7:$C$83,$K18,'прогноз на 20.05.12'!R$7:R$83)</f>
        <v>0</v>
      </c>
      <c r="AA18" s="41">
        <f>SUMIF('прогноз на 20.05.12'!$C$7:$C$83,$C18,'прогноз на 20.05.12'!S$7:S$83)+SUMIF('прогноз на 20.05.12'!$C$7:$C$83,$E18,'прогноз на 20.05.12'!S$7:S$83)+SUMIF('прогноз на 20.05.12'!$C$7:$C$83,$G18,'прогноз на 20.05.12'!S$7:S$83)+SUMIF('прогноз на 20.05.12'!$C$7:$C$83,$I18,'прогноз на 20.05.12'!S$7:S$83)+SUMIF('прогноз на 20.05.12'!$C$7:$C$83,$K18,'прогноз на 20.05.12'!S$7:S$83)</f>
        <v>42</v>
      </c>
      <c r="AB18" s="41">
        <f>SUMIF('прогноз на 20.05.12'!$C$7:$C$83,$C18,'прогноз на 20.05.12'!T$7:T$83)+SUMIF('прогноз на 20.05.12'!$C$7:$C$83,$E18,'прогноз на 20.05.12'!T$7:T$83)+SUMIF('прогноз на 20.05.12'!$C$7:$C$83,$G18,'прогноз на 20.05.12'!T$7:T$83)+SUMIF('прогноз на 20.05.12'!$C$7:$C$83,$I18,'прогноз на 20.05.12'!T$7:T$83)+SUMIF('прогноз на 20.05.12'!$C$7:$C$83,$K18,'прогноз на 20.05.12'!T$7:T$83)</f>
        <v>70</v>
      </c>
      <c r="AC18" s="41">
        <f>SUMIF('прогноз на 20.05.12'!$C$7:$C$83,$C18,'прогноз на 20.05.12'!U$7:U$83)+SUMIF('прогноз на 20.05.12'!$C$7:$C$83,$E18,'прогноз на 20.05.12'!U$7:U$83)+SUMIF('прогноз на 20.05.12'!$C$7:$C$83,$G18,'прогноз на 20.05.12'!U$7:U$83)+SUMIF('прогноз на 20.05.12'!$C$7:$C$83,$I18,'прогноз на 20.05.12'!U$7:U$83)+SUMIF('прогноз на 20.05.12'!$C$7:$C$83,$K18,'прогноз на 20.05.12'!U$7:U$83)</f>
        <v>28</v>
      </c>
      <c r="AD18" s="41">
        <f>SUMIF('прогноз на 20.05.12'!$C$7:$C$83,$C18,'прогноз на 20.05.12'!V$7:V$83)+SUMIF('прогноз на 20.05.12'!$C$7:$C$83,$E18,'прогноз на 20.05.12'!V$7:V$83)+SUMIF('прогноз на 20.05.12'!$C$7:$C$83,$G18,'прогноз на 20.05.12'!V$7:V$83)+SUMIF('прогноз на 20.05.12'!$C$7:$C$83,$I18,'прогноз на 20.05.12'!V$7:V$83)+SUMIF('прогноз на 20.05.12'!$C$7:$C$83,$K18,'прогноз на 20.05.12'!V$7:V$83)</f>
        <v>140</v>
      </c>
      <c r="AE18" s="41">
        <f>SUMIF('прогноз на 20.05.12'!$C$7:$C$83,$C18,'прогноз на 20.05.12'!W$7:W$83)+SUMIF('прогноз на 20.05.12'!$C$7:$C$83,$E18,'прогноз на 20.05.12'!W$7:W$83)+SUMIF('прогноз на 20.05.12'!$C$7:$C$83,$G18,'прогноз на 20.05.12'!W$7:W$83)+SUMIF('прогноз на 20.05.12'!$C$7:$C$83,$I18,'прогноз на 20.05.12'!W$7:W$83)+SUMIF('прогноз на 20.05.12'!$C$7:$C$83,$K18,'прогноз на 20.05.12'!W$7:W$83)</f>
        <v>14</v>
      </c>
      <c r="AF18" s="41">
        <f>SUMIF('прогноз на 20.05.12'!$C$7:$C$83,$C18,'прогноз на 20.05.12'!X$7:X$83)+SUMIF('прогноз на 20.05.12'!$C$7:$C$83,$E18,'прогноз на 20.05.12'!X$7:X$83)+SUMIF('прогноз на 20.05.12'!$C$7:$C$83,$G18,'прогноз на 20.05.12'!X$7:X$83)+SUMIF('прогноз на 20.05.12'!$C$7:$C$83,$I18,'прогноз на 20.05.12'!X$7:X$83)+SUMIF('прогноз на 20.05.12'!$C$7:$C$83,$K18,'прогноз на 20.05.12'!X$7:X$83)</f>
        <v>29</v>
      </c>
      <c r="AG18" s="41">
        <f>SUMIF('прогноз на 20.05.12'!$C$7:$C$83,$C18,'прогноз на 20.05.12'!Y$7:Y$83)+SUMIF('прогноз на 20.05.12'!$C$7:$C$83,$E18,'прогноз на 20.05.12'!Y$7:Y$83)+SUMIF('прогноз на 20.05.12'!$C$7:$C$83,$G18,'прогноз на 20.05.12'!Y$7:Y$83)+SUMIF('прогноз на 20.05.12'!$C$7:$C$83,$I18,'прогноз на 20.05.12'!Y$7:Y$83)+SUMIF('прогноз на 20.05.12'!$C$7:$C$83,$K18,'прогноз на 20.05.12'!Y$7:Y$83)</f>
        <v>1</v>
      </c>
      <c r="AH18" s="41">
        <f>SUMIF('прогноз на 20.05.12'!$C$7:$C$83,$C18,'прогноз на 20.05.12'!Z$7:Z$83)+SUMIF('прогноз на 20.05.12'!$C$7:$C$83,$E18,'прогноз на 20.05.12'!Z$7:Z$83)+SUMIF('прогноз на 20.05.12'!$C$7:$C$83,$G18,'прогноз на 20.05.12'!Z$7:Z$83)+SUMIF('прогноз на 20.05.12'!$C$7:$C$83,$I18,'прогноз на 20.05.12'!Z$7:Z$83)+SUMIF('прогноз на 20.05.12'!$C$7:$C$83,$K18,'прогноз на 20.05.12'!Z$7:Z$83)</f>
        <v>44</v>
      </c>
      <c r="AI18" s="41">
        <f>SUMIF('прогноз на 20.05.12'!$C$7:$C$83,$C18,'прогноз на 20.05.12'!AA$7:AA$83)+SUMIF('прогноз на 20.05.12'!$C$7:$C$83,$E18,'прогноз на 20.05.12'!AA$7:AA$83)+SUMIF('прогноз на 20.05.12'!$C$7:$C$83,$G18,'прогноз на 20.05.12'!AA$7:AA$83)+SUMIF('прогноз на 20.05.12'!$C$7:$C$83,$I18,'прогноз на 20.05.12'!AA$7:AA$83)+SUMIF('прогноз на 20.05.12'!$C$7:$C$83,$K18,'прогноз на 20.05.12'!AA$7:AA$83)</f>
        <v>10.5</v>
      </c>
      <c r="AJ18" s="41">
        <f>SUMIF('прогноз на 20.05.12'!$C$7:$C$83,$C18,'прогноз на 20.05.12'!AB$7:AB$83)+SUMIF('прогноз на 20.05.12'!$C$7:$C$83,$E18,'прогноз на 20.05.12'!AB$7:AB$83)+SUMIF('прогноз на 20.05.12'!$C$7:$C$83,$G18,'прогноз на 20.05.12'!AB$7:AB$83)+SUMIF('прогноз на 20.05.12'!$C$7:$C$83,$I18,'прогноз на 20.05.12'!AB$7:AB$83)+SUMIF('прогноз на 20.05.12'!$C$7:$C$83,$K18,'прогноз на 20.05.12'!AB$7:AB$83)</f>
        <v>21.75</v>
      </c>
      <c r="AK18" s="41">
        <f>SUMIF('прогноз на 20.05.12'!$C$7:$C$83,$C18,'прогноз на 20.05.12'!AC$7:AC$83)+SUMIF('прогноз на 20.05.12'!$C$7:$C$83,$E18,'прогноз на 20.05.12'!AC$7:AC$83)+SUMIF('прогноз на 20.05.12'!$C$7:$C$83,$G18,'прогноз на 20.05.12'!AC$7:AC$83)+SUMIF('прогноз на 20.05.12'!$C$7:$C$83,$I18,'прогноз на 20.05.12'!AC$7:AC$83)+SUMIF('прогноз на 20.05.12'!$C$7:$C$83,$K18,'прогноз на 20.05.12'!AC$7:AC$83)</f>
        <v>0.75</v>
      </c>
      <c r="AL18" s="41">
        <f>SUMIF('прогноз на 20.05.12'!$C$7:$C$83,$C18,'прогноз на 20.05.12'!AD$7:AD$83)+SUMIF('прогноз на 20.05.12'!$C$7:$C$83,$E18,'прогноз на 20.05.12'!AD$7:AD$83)+SUMIF('прогноз на 20.05.12'!$C$7:$C$83,$G18,'прогноз на 20.05.12'!AD$7:AD$83)+SUMIF('прогноз на 20.05.12'!$C$7:$C$83,$I18,'прогноз на 20.05.12'!AD$7:AD$83)+SUMIF('прогноз на 20.05.12'!$C$7:$C$83,$K18,'прогноз на 20.05.12'!AD$7:AD$83)</f>
        <v>33</v>
      </c>
      <c r="AM18" s="41">
        <f>SUMIF('прогноз на 20.05.12'!$C$7:$C$83,$C18,'прогноз на 20.05.12'!AE$7:AE$83)+SUMIF('прогноз на 20.05.12'!$C$7:$C$83,$E18,'прогноз на 20.05.12'!AE$7:AE$83)+SUMIF('прогноз на 20.05.12'!$C$7:$C$83,$G18,'прогноз на 20.05.12'!AE$7:AE$83)+SUMIF('прогноз на 20.05.12'!$C$7:$C$83,$I18,'прогноз на 20.05.12'!AE$7:AE$83)+SUMIF('прогноз на 20.05.12'!$C$7:$C$83,$K18,'прогноз на 20.05.12'!AE$7:AE$83)</f>
        <v>38.5</v>
      </c>
      <c r="AN18" s="41">
        <f>SUMIF('прогноз на 20.05.12'!$C$7:$C$83,$C18,'прогноз на 20.05.12'!AF$7:AF$83)+SUMIF('прогноз на 20.05.12'!$C$7:$C$83,$E18,'прогноз на 20.05.12'!AF$7:AF$83)+SUMIF('прогноз на 20.05.12'!$C$7:$C$83,$G18,'прогноз на 20.05.12'!AF$7:AF$83)+SUMIF('прогноз на 20.05.12'!$C$7:$C$83,$I18,'прогноз на 20.05.12'!AF$7:AF$83)+SUMIF('прогноз на 20.05.12'!$C$7:$C$83,$K18,'прогноз на 20.05.12'!AF$7:AF$83)</f>
        <v>62.75</v>
      </c>
      <c r="AO18" s="41">
        <f>SUMIF('прогноз на 20.05.12'!$C$7:$C$83,$C18,'прогноз на 20.05.12'!AG$7:AG$83)+SUMIF('прогноз на 20.05.12'!$C$7:$C$83,$E18,'прогноз на 20.05.12'!AG$7:AG$83)+SUMIF('прогноз на 20.05.12'!$C$7:$C$83,$G18,'прогноз на 20.05.12'!AG$7:AG$83)+SUMIF('прогноз на 20.05.12'!$C$7:$C$83,$I18,'прогноз на 20.05.12'!AG$7:AG$83)+SUMIF('прогноз на 20.05.12'!$C$7:$C$83,$K18,'прогноз на 20.05.12'!AG$7:AG$83)</f>
        <v>27.75</v>
      </c>
      <c r="AP18" s="41">
        <f>SUMIF('прогноз на 20.05.12'!$C$7:$C$83,$C18,'прогноз на 20.05.12'!AH$7:AH$83)+SUMIF('прогноз на 20.05.12'!$C$7:$C$83,$E18,'прогноз на 20.05.12'!AH$7:AH$83)+SUMIF('прогноз на 20.05.12'!$C$7:$C$83,$G18,'прогноз на 20.05.12'!AH$7:AH$83)+SUMIF('прогноз на 20.05.12'!$C$7:$C$83,$I18,'прогноз на 20.05.12'!AH$7:AH$83)+SUMIF('прогноз на 20.05.12'!$C$7:$C$83,$K18,'прогноз на 20.05.12'!AH$7:AH$83)</f>
        <v>129</v>
      </c>
      <c r="AQ18" s="41">
        <f>SUMIF('прогноз на 20.05.12'!$C$7:$C$83,$C18,'прогноз на 20.05.12'!AM$7:AM$83)+SUMIF('прогноз на 20.05.12'!$C$7:$C$83,$E18,'прогноз на 20.05.12'!AM$7:AM$83)+SUMIF('прогноз на 20.05.12'!$C$7:$C$83,$G18,'прогноз на 20.05.12'!AM$7:AM$83)+SUMIF('прогноз на 20.05.12'!$C$7:$C$83,$I18,'прогноз на 20.05.12'!AM$7:AM$83)+SUMIF('прогноз на 20.05.12'!$C$7:$C$83,$K18,'прогноз на 20.05.12'!AM$7:AM$83)</f>
        <v>209548.5</v>
      </c>
      <c r="AR18" s="41">
        <f>SUMIF('прогноз на 20.05.12'!$C$7:$C$83,$C18,'прогноз на 20.05.12'!AN$7:AN$83)+SUMIF('прогноз на 20.05.12'!$C$7:$C$83,$E18,'прогноз на 20.05.12'!AN$7:AN$83)+SUMIF('прогноз на 20.05.12'!$C$7:$C$83,$G18,'прогноз на 20.05.12'!AN$7:AN$83)+SUMIF('прогноз на 20.05.12'!$C$7:$C$83,$I18,'прогноз на 20.05.12'!AN$7:AN$83)+SUMIF('прогноз на 20.05.12'!$C$7:$C$83,$K18,'прогноз на 20.05.12'!AN$7:AN$83)</f>
        <v>739043.25</v>
      </c>
      <c r="AS18" s="41">
        <f>SUMIF('прогноз на 20.05.12'!$C$7:$C$83,$C18,'прогноз на 20.05.12'!AO$7:AO$83)+SUMIF('прогноз на 20.05.12'!$C$7:$C$83,$E18,'прогноз на 20.05.12'!AO$7:AO$83)+SUMIF('прогноз на 20.05.12'!$C$7:$C$83,$G18,'прогноз на 20.05.12'!AO$7:AO$83)+SUMIF('прогноз на 20.05.12'!$C$7:$C$83,$I18,'прогноз на 20.05.12'!AO$7:AO$83)+SUMIF('прогноз на 20.05.12'!$C$7:$C$83,$K18,'прогноз на 20.05.12'!AO$7:AO$83)</f>
        <v>27215.25</v>
      </c>
      <c r="AT18" s="41">
        <f>SUMIF('прогноз на 20.05.12'!$C$7:$C$83,$C18,'прогноз на 20.05.12'!AP$7:AP$83)+SUMIF('прогноз на 20.05.12'!$C$7:$C$83,$E18,'прогноз на 20.05.12'!AP$7:AP$83)+SUMIF('прогноз на 20.05.12'!$C$7:$C$83,$G18,'прогноз на 20.05.12'!AP$7:AP$83)+SUMIF('прогноз на 20.05.12'!$C$7:$C$83,$I18,'прогноз на 20.05.12'!AP$7:AP$83)+SUMIF('прогноз на 20.05.12'!$C$7:$C$83,$K18,'прогноз на 20.05.12'!AP$7:AP$83)</f>
        <v>975807</v>
      </c>
      <c r="AU18" s="41">
        <f>SUMIF('прогноз на 20.05.12'!$C$7:$C$83,$C18,'прогноз на 20.05.12'!AU$7:AU$83)+SUMIF('прогноз на 20.05.12'!$C$7:$C$83,$E18,'прогноз на 20.05.12'!AU$7:AU$83)+SUMIF('прогноз на 20.05.12'!$C$7:$C$83,$G18,'прогноз на 20.05.12'!AU$7:AU$83)+SUMIF('прогноз на 20.05.12'!$C$7:$C$83,$I18,'прогноз на 20.05.12'!AU$7:AU$83)+SUMIF('прогноз на 20.05.12'!$C$7:$C$83,$K18,'прогноз на 20.05.12'!AU$7:AU$83)</f>
        <v>13282.5</v>
      </c>
      <c r="AV18" s="41">
        <f>SUMIF('прогноз на 20.05.12'!$C$7:$C$83,$C18,'прогноз на 20.05.12'!AV$7:AV$83)+SUMIF('прогноз на 20.05.12'!$C$7:$C$83,$E18,'прогноз на 20.05.12'!AV$7:AV$83)+SUMIF('прогноз на 20.05.12'!$C$7:$C$83,$G18,'прогноз на 20.05.12'!AV$7:AV$83)+SUMIF('прогноз на 20.05.12'!$C$7:$C$83,$I18,'прогноз на 20.05.12'!AV$7:AV$83)+SUMIF('прогноз на 20.05.12'!$C$7:$C$83,$K18,'прогноз на 20.05.12'!AV$7:AV$83)</f>
        <v>31341.75</v>
      </c>
      <c r="AW18" s="41">
        <f>SUMIF('прогноз на 20.05.12'!$C$7:$C$83,$C18,'прогноз на 20.05.12'!AW$7:AW$83)+SUMIF('прогноз на 20.05.12'!$C$7:$C$83,$E18,'прогноз на 20.05.12'!AW$7:AW$83)+SUMIF('прогноз на 20.05.12'!$C$7:$C$83,$G18,'прогноз на 20.05.12'!AW$7:AW$83)+SUMIF('прогноз на 20.05.12'!$C$7:$C$83,$I18,'прогноз на 20.05.12'!AW$7:AW$83)+SUMIF('прогноз на 20.05.12'!$C$7:$C$83,$K18,'прогноз на 20.05.12'!AW$7:AW$83)</f>
        <v>1370.25</v>
      </c>
      <c r="AX18" s="41">
        <f>SUMIF('прогноз на 20.05.12'!$C$7:$C$83,$C18,'прогноз на 20.05.12'!AX$7:AX$83)+SUMIF('прогноз на 20.05.12'!$C$7:$C$83,$E18,'прогноз на 20.05.12'!AX$7:AX$83)+SUMIF('прогноз на 20.05.12'!$C$7:$C$83,$G18,'прогноз на 20.05.12'!AX$7:AX$83)+SUMIF('прогноз на 20.05.12'!$C$7:$C$83,$I18,'прогноз на 20.05.12'!AX$7:AX$83)+SUMIF('прогноз на 20.05.12'!$C$7:$C$83,$K18,'прогноз на 20.05.12'!AX$7:AX$83)</f>
        <v>45994.5</v>
      </c>
      <c r="AY18" s="41">
        <f>SUMIF('прогноз на 20.05.12'!$C$7:$C$83,$C18,'прогноз на 20.05.12'!AY$7:AY$83)+SUMIF('прогноз на 20.05.12'!$C$7:$C$83,$E18,'прогноз на 20.05.12'!AY$7:AY$83)+SUMIF('прогноз на 20.05.12'!$C$7:$C$83,$G18,'прогноз на 20.05.12'!AY$7:AY$83)+SUMIF('прогноз на 20.05.12'!$C$7:$C$83,$I18,'прогноз на 20.05.12'!AY$7:AY$83)+SUMIF('прогноз на 20.05.12'!$C$7:$C$83,$K18,'прогноз на 20.05.12'!AY$7:AY$83)</f>
        <v>222831</v>
      </c>
      <c r="AZ18" s="41">
        <f>SUMIF('прогноз на 20.05.12'!$C$7:$C$83,$C18,'прогноз на 20.05.12'!AZ$7:AZ$83)+SUMIF('прогноз на 20.05.12'!$C$7:$C$83,$E18,'прогноз на 20.05.12'!AZ$7:AZ$83)+SUMIF('прогноз на 20.05.12'!$C$7:$C$83,$G18,'прогноз на 20.05.12'!AZ$7:AZ$83)+SUMIF('прогноз на 20.05.12'!$C$7:$C$83,$I18,'прогноз на 20.05.12'!AZ$7:AZ$83)+SUMIF('прогноз на 20.05.12'!$C$7:$C$83,$K18,'прогноз на 20.05.12'!AZ$7:AZ$83)</f>
        <v>770385</v>
      </c>
      <c r="BA18" s="41">
        <f>SUMIF('прогноз на 20.05.12'!$C$7:$C$83,$C18,'прогноз на 20.05.12'!BA$7:BA$83)+SUMIF('прогноз на 20.05.12'!$C$7:$C$83,$E18,'прогноз на 20.05.12'!BA$7:BA$83)+SUMIF('прогноз на 20.05.12'!$C$7:$C$83,$G18,'прогноз на 20.05.12'!BA$7:BA$83)+SUMIF('прогноз на 20.05.12'!$C$7:$C$83,$I18,'прогноз на 20.05.12'!BA$7:BA$83)+SUMIF('прогноз на 20.05.12'!$C$7:$C$83,$K18,'прогноз на 20.05.12'!BA$7:BA$83)</f>
        <v>28585.5</v>
      </c>
      <c r="BB18" s="41">
        <f>SUMIF('прогноз на 20.05.12'!$C$7:$C$83,$C18,'прогноз на 20.05.12'!BB$7:BB$83)+SUMIF('прогноз на 20.05.12'!$C$7:$C$83,$E18,'прогноз на 20.05.12'!BB$7:BB$83)+SUMIF('прогноз на 20.05.12'!$C$7:$C$83,$G18,'прогноз на 20.05.12'!BB$7:BB$83)+SUMIF('прогноз на 20.05.12'!$C$7:$C$83,$I18,'прогноз на 20.05.12'!BB$7:BB$83)+SUMIF('прогноз на 20.05.12'!$C$7:$C$83,$K18,'прогноз на 20.05.12'!BB$7:BB$83)</f>
        <v>1021801.5</v>
      </c>
      <c r="BC18" s="41">
        <f>SUMIF('прогноз на 20.05.12'!$C$7:$C$83,$C18,'прогноз на 20.05.12'!BC$7:BC$83)+SUMIF('прогноз на 20.05.12'!$C$7:$C$83,$E18,'прогноз на 20.05.12'!BC$7:BC$83)+SUMIF('прогноз на 20.05.12'!$C$7:$C$83,$G18,'прогноз на 20.05.12'!BC$7:BC$83)+SUMIF('прогноз на 20.05.12'!$C$7:$C$83,$I18,'прогноз на 20.05.12'!BC$7:BC$83)+SUMIF('прогноз на 20.05.12'!$C$7:$C$83,$K18,'прогноз на 20.05.12'!BC$7:BC$83)</f>
        <v>838283</v>
      </c>
      <c r="BD18" s="41">
        <f>SUMIF('прогноз на 20.05.12'!$C$7:$C$83,$C18,'прогноз на 20.05.12'!BD$7:BD$83)+SUMIF('прогноз на 20.05.12'!$C$7:$C$83,$E18,'прогноз на 20.05.12'!BD$7:BD$83)+SUMIF('прогноз на 20.05.12'!$C$7:$C$83,$G18,'прогноз на 20.05.12'!BD$7:BD$83)+SUMIF('прогноз на 20.05.12'!$C$7:$C$83,$I18,'прогноз на 20.05.12'!BD$7:BD$83)+SUMIF('прогноз на 20.05.12'!$C$7:$C$83,$K18,'прогноз на 20.05.12'!BD$7:BD$83)</f>
        <v>838283</v>
      </c>
      <c r="BE18" s="41">
        <f>SUMIF('прогноз на 20.05.12'!$C$7:$C$83,$C18,'прогноз на 20.05.12'!BE$7:BE$83)+SUMIF('прогноз на 20.05.12'!$C$7:$C$83,$E18,'прогноз на 20.05.12'!BE$7:BE$83)+SUMIF('прогноз на 20.05.12'!$C$7:$C$83,$G18,'прогноз на 20.05.12'!BE$7:BE$83)+SUMIF('прогноз на 20.05.12'!$C$7:$C$83,$I18,'прогноз на 20.05.12'!BE$7:BE$83)+SUMIF('прогноз на 20.05.12'!$C$7:$C$83,$K18,'прогноз на 20.05.12'!BE$7:BE$83)</f>
        <v>0</v>
      </c>
      <c r="BF18" s="41">
        <f>SUMIF('прогноз на 20.05.12'!$C$7:$C$83,$C18,'прогноз на 20.05.12'!BF$7:BF$83)+SUMIF('прогноз на 20.05.12'!$C$7:$C$83,$E18,'прогноз на 20.05.12'!BF$7:BF$83)+SUMIF('прогноз на 20.05.12'!$C$7:$C$83,$G18,'прогноз на 20.05.12'!BF$7:BF$83)+SUMIF('прогноз на 20.05.12'!$C$7:$C$83,$I18,'прогноз на 20.05.12'!BF$7:BF$83)+SUMIF('прогноз на 20.05.12'!$C$7:$C$83,$K18,'прогноз на 20.05.12'!BF$7:BF$83)</f>
        <v>-183518.5</v>
      </c>
      <c r="BG18" s="41">
        <f>SUMIF('прогноз на 20.05.12'!$C$7:$C$83,$C18,'прогноз на 20.05.12'!BG$7:BG$83)+SUMIF('прогноз на 20.05.12'!$C$7:$C$83,$E18,'прогноз на 20.05.12'!BG$7:BG$83)+SUMIF('прогноз на 20.05.12'!$C$7:$C$83,$G18,'прогноз на 20.05.12'!BG$7:BG$83)+SUMIF('прогноз на 20.05.12'!$C$7:$C$83,$I18,'прогноз на 20.05.12'!BG$7:BG$83)+SUMIF('прогноз на 20.05.12'!$C$7:$C$83,$K18,'прогноз на 20.05.12'!BG$7:BG$83)</f>
        <v>0</v>
      </c>
      <c r="BH18" s="41">
        <f>SUMIF('прогноз на 20.05.12'!$C$7:$C$83,$C18,'прогноз на 20.05.12'!BH$7:BH$83)+SUMIF('прогноз на 20.05.12'!$C$7:$C$83,$E18,'прогноз на 20.05.12'!BH$7:BH$83)+SUMIF('прогноз на 20.05.12'!$C$7:$C$83,$G18,'прогноз на 20.05.12'!BH$7:BH$83)+SUMIF('прогноз на 20.05.12'!$C$7:$C$83,$I18,'прогноз на 20.05.12'!BH$7:BH$83)+SUMIF('прогноз на 20.05.12'!$C$7:$C$83,$K18,'прогноз на 20.05.12'!BH$7:BH$83)</f>
        <v>-183518.5</v>
      </c>
      <c r="BI18" s="90">
        <f t="shared" si="10"/>
        <v>9.3333333333333339</v>
      </c>
      <c r="BJ18" s="90">
        <f t="shared" si="11"/>
        <v>8.1999999999999993</v>
      </c>
      <c r="BK18" s="90">
        <f t="shared" si="12"/>
        <v>13.5</v>
      </c>
      <c r="BL18" s="90">
        <f t="shared" si="13"/>
        <v>9.6</v>
      </c>
    </row>
    <row r="19" spans="1:64" s="55" customFormat="1" ht="18.75">
      <c r="A19" s="38">
        <v>13</v>
      </c>
      <c r="B19" s="39" t="s">
        <v>56</v>
      </c>
      <c r="C19" s="40" t="s">
        <v>212</v>
      </c>
      <c r="D19" s="58"/>
      <c r="E19" s="58"/>
      <c r="F19" s="58"/>
      <c r="G19" s="58"/>
      <c r="H19" s="58"/>
      <c r="I19" s="58"/>
      <c r="J19" s="58"/>
      <c r="K19" s="58"/>
      <c r="L19" s="41">
        <f>SUMIF('прогноз на 20.05.12'!$C$7:$C$83,$C19,'прогноз на 20.05.12'!D$7:D$83)+SUMIF('прогноз на 20.05.12'!$C$7:$C$83,$E19,'прогноз на 20.05.12'!D$7:D$83)+SUMIF('прогноз на 20.05.12'!$C$7:$C$83,$G19,'прогноз на 20.05.12'!D$7:D$83)+SUMIF('прогноз на 20.05.12'!$C$7:$C$83,$I19,'прогноз на 20.05.12'!D$7:D$83)+SUMIF('прогноз на 20.05.12'!$C$7:$C$83,$K19,'прогноз на 20.05.12'!D$7:D$83)</f>
        <v>48</v>
      </c>
      <c r="M19" s="41">
        <f>SUMIF('прогноз на 20.05.12'!$C$7:$C$83,$C19,'прогноз на 20.05.12'!E$7:E$83)+SUMIF('прогноз на 20.05.12'!$C$7:$C$83,$E19,'прогноз на 20.05.12'!E$7:E$83)+SUMIF('прогноз на 20.05.12'!$C$7:$C$83,$G19,'прогноз на 20.05.12'!E$7:E$83)+SUMIF('прогноз на 20.05.12'!$C$7:$C$83,$I19,'прогноз на 20.05.12'!E$7:E$83)+SUMIF('прогноз на 20.05.12'!$C$7:$C$83,$K19,'прогноз на 20.05.12'!E$7:E$83)</f>
        <v>66</v>
      </c>
      <c r="N19" s="41">
        <f>SUMIF('прогноз на 20.05.12'!$C$7:$C$83,$C19,'прогноз на 20.05.12'!F$7:F$83)+SUMIF('прогноз на 20.05.12'!$C$7:$C$83,$E19,'прогноз на 20.05.12'!F$7:F$83)+SUMIF('прогноз на 20.05.12'!$C$7:$C$83,$G19,'прогноз на 20.05.12'!F$7:F$83)+SUMIF('прогноз на 20.05.12'!$C$7:$C$83,$I19,'прогноз на 20.05.12'!F$7:F$83)+SUMIF('прогноз на 20.05.12'!$C$7:$C$83,$K19,'прогноз на 20.05.12'!F$7:F$83)</f>
        <v>12</v>
      </c>
      <c r="O19" s="50">
        <f t="shared" si="6"/>
        <v>126</v>
      </c>
      <c r="P19" s="41">
        <f>SUMIF('прогноз на 20.05.12'!$C$7:$C$83,$C19,'прогноз на 20.05.12'!H$7:H$83)+SUMIF('прогноз на 20.05.12'!$C$7:$C$83,$E19,'прогноз на 20.05.12'!H$7:H$83)+SUMIF('прогноз на 20.05.12'!$C$7:$C$83,$G19,'прогноз на 20.05.12'!H$7:H$83)+SUMIF('прогноз на 20.05.12'!$C$7:$C$83,$I19,'прогноз на 20.05.12'!H$7:H$83)+SUMIF('прогноз на 20.05.12'!$C$7:$C$83,$K19,'прогноз на 20.05.12'!H$7:H$83)</f>
        <v>4</v>
      </c>
      <c r="Q19" s="41">
        <f>SUMIF('прогноз на 20.05.12'!$C$7:$C$83,$C19,'прогноз на 20.05.12'!I$7:I$83)+SUMIF('прогноз на 20.05.12'!$C$7:$C$83,$E19,'прогноз на 20.05.12'!I$7:I$83)+SUMIF('прогноз на 20.05.12'!$C$7:$C$83,$G19,'прогноз на 20.05.12'!I$7:I$83)+SUMIF('прогноз на 20.05.12'!$C$7:$C$83,$I19,'прогноз на 20.05.12'!I$7:I$83)+SUMIF('прогноз на 20.05.12'!$C$7:$C$83,$K19,'прогноз на 20.05.12'!I$7:I$83)</f>
        <v>5</v>
      </c>
      <c r="R19" s="41">
        <f>SUMIF('прогноз на 20.05.12'!$C$7:$C$83,$C19,'прогноз на 20.05.12'!J$7:J$83)+SUMIF('прогноз на 20.05.12'!$C$7:$C$83,$E19,'прогноз на 20.05.12'!J$7:J$83)+SUMIF('прогноз на 20.05.12'!$C$7:$C$83,$G19,'прогноз на 20.05.12'!J$7:J$83)+SUMIF('прогноз на 20.05.12'!$C$7:$C$83,$I19,'прогноз на 20.05.12'!J$7:J$83)+SUMIF('прогноз на 20.05.12'!$C$7:$C$83,$K19,'прогноз на 20.05.12'!J$7:J$83)</f>
        <v>2</v>
      </c>
      <c r="S19" s="51">
        <f t="shared" si="7"/>
        <v>11</v>
      </c>
      <c r="T19" s="41">
        <f>SUMIF('прогноз на 20.05.12'!$C$7:$C$83,$C19,'прогноз на 20.05.12'!L$7:L$83)+SUMIF('прогноз на 20.05.12'!$C$7:$C$83,$E19,'прогноз на 20.05.12'!L$7:L$83)+SUMIF('прогноз на 20.05.12'!$C$7:$C$83,$G19,'прогноз на 20.05.12'!L$7:L$83)+SUMIF('прогноз на 20.05.12'!$C$7:$C$83,$I19,'прогноз на 20.05.12'!L$7:L$83)+SUMIF('прогноз на 20.05.12'!$C$7:$C$83,$K19,'прогноз на 20.05.12'!L$7:L$83)</f>
        <v>0</v>
      </c>
      <c r="U19" s="41">
        <f>SUMIF('прогноз на 20.05.12'!$C$7:$C$83,$C19,'прогноз на 20.05.12'!M$7:M$83)+SUMIF('прогноз на 20.05.12'!$C$7:$C$83,$E19,'прогноз на 20.05.12'!M$7:M$83)+SUMIF('прогноз на 20.05.12'!$C$7:$C$83,$G19,'прогноз на 20.05.12'!M$7:M$83)+SUMIF('прогноз на 20.05.12'!$C$7:$C$83,$I19,'прогноз на 20.05.12'!M$7:M$83)+SUMIF('прогноз на 20.05.12'!$C$7:$C$83,$K19,'прогноз на 20.05.12'!M$7:M$83)</f>
        <v>1</v>
      </c>
      <c r="V19" s="41">
        <f>SUMIF('прогноз на 20.05.12'!$C$7:$C$83,$C19,'прогноз на 20.05.12'!N$7:N$83)+SUMIF('прогноз на 20.05.12'!$C$7:$C$83,$E19,'прогноз на 20.05.12'!N$7:N$83)+SUMIF('прогноз на 20.05.12'!$C$7:$C$83,$G19,'прогноз на 20.05.12'!N$7:N$83)+SUMIF('прогноз на 20.05.12'!$C$7:$C$83,$I19,'прогноз на 20.05.12'!N$7:N$83)+SUMIF('прогноз на 20.05.12'!$C$7:$C$83,$K19,'прогноз на 20.05.12'!N$7:N$83)</f>
        <v>0</v>
      </c>
      <c r="W19" s="51">
        <f t="shared" si="8"/>
        <v>1</v>
      </c>
      <c r="X19" s="41">
        <f>SUMIF('прогноз на 20.05.12'!$C$7:$C$83,$C19,'прогноз на 20.05.12'!P$7:P$83)+SUMIF('прогноз на 20.05.12'!$C$7:$C$83,$E19,'прогноз на 20.05.12'!P$7:P$83)+SUMIF('прогноз на 20.05.12'!$C$7:$C$83,$G19,'прогноз на 20.05.12'!P$7:P$83)+SUMIF('прогноз на 20.05.12'!$C$7:$C$83,$I19,'прогноз на 20.05.12'!P$7:P$83)+SUMIF('прогноз на 20.05.12'!$C$7:$C$83,$K19,'прогноз на 20.05.12'!P$7:P$83)</f>
        <v>1</v>
      </c>
      <c r="Y19" s="41">
        <f>SUMIF('прогноз на 20.05.12'!$C$7:$C$83,$C19,'прогноз на 20.05.12'!Q$7:Q$83)+SUMIF('прогноз на 20.05.12'!$C$7:$C$83,$E19,'прогноз на 20.05.12'!Q$7:Q$83)+SUMIF('прогноз на 20.05.12'!$C$7:$C$83,$G19,'прогноз на 20.05.12'!Q$7:Q$83)+SUMIF('прогноз на 20.05.12'!$C$7:$C$83,$I19,'прогноз на 20.05.12'!Q$7:Q$83)+SUMIF('прогноз на 20.05.12'!$C$7:$C$83,$K19,'прогноз на 20.05.12'!Q$7:Q$83)</f>
        <v>25</v>
      </c>
      <c r="Z19" s="41">
        <f>SUMIF('прогноз на 20.05.12'!$C$7:$C$83,$C19,'прогноз на 20.05.12'!R$7:R$83)+SUMIF('прогноз на 20.05.12'!$C$7:$C$83,$E19,'прогноз на 20.05.12'!R$7:R$83)+SUMIF('прогноз на 20.05.12'!$C$7:$C$83,$G19,'прогноз на 20.05.12'!R$7:R$83)+SUMIF('прогноз на 20.05.12'!$C$7:$C$83,$I19,'прогноз на 20.05.12'!R$7:R$83)+SUMIF('прогноз на 20.05.12'!$C$7:$C$83,$K19,'прогноз на 20.05.12'!R$7:R$83)</f>
        <v>0</v>
      </c>
      <c r="AA19" s="41">
        <f>SUMIF('прогноз на 20.05.12'!$C$7:$C$83,$C19,'прогноз на 20.05.12'!S$7:S$83)+SUMIF('прогноз на 20.05.12'!$C$7:$C$83,$E19,'прогноз на 20.05.12'!S$7:S$83)+SUMIF('прогноз на 20.05.12'!$C$7:$C$83,$G19,'прогноз на 20.05.12'!S$7:S$83)+SUMIF('прогноз на 20.05.12'!$C$7:$C$83,$I19,'прогноз на 20.05.12'!S$7:S$83)+SUMIF('прогноз на 20.05.12'!$C$7:$C$83,$K19,'прогноз на 20.05.12'!S$7:S$83)</f>
        <v>56</v>
      </c>
      <c r="AB19" s="41">
        <f>SUMIF('прогноз на 20.05.12'!$C$7:$C$83,$C19,'прогноз на 20.05.12'!T$7:T$83)+SUMIF('прогноз на 20.05.12'!$C$7:$C$83,$E19,'прогноз на 20.05.12'!T$7:T$83)+SUMIF('прогноз на 20.05.12'!$C$7:$C$83,$G19,'прогноз на 20.05.12'!T$7:T$83)+SUMIF('прогноз на 20.05.12'!$C$7:$C$83,$I19,'прогноз на 20.05.12'!T$7:T$83)+SUMIF('прогноз на 20.05.12'!$C$7:$C$83,$K19,'прогноз на 20.05.12'!T$7:T$83)</f>
        <v>70</v>
      </c>
      <c r="AC19" s="41">
        <f>SUMIF('прогноз на 20.05.12'!$C$7:$C$83,$C19,'прогноз на 20.05.12'!U$7:U$83)+SUMIF('прогноз на 20.05.12'!$C$7:$C$83,$E19,'прогноз на 20.05.12'!U$7:U$83)+SUMIF('прогноз на 20.05.12'!$C$7:$C$83,$G19,'прогноз на 20.05.12'!U$7:U$83)+SUMIF('прогноз на 20.05.12'!$C$7:$C$83,$I19,'прогноз на 20.05.12'!U$7:U$83)+SUMIF('прогноз на 20.05.12'!$C$7:$C$83,$K19,'прогноз на 20.05.12'!U$7:U$83)</f>
        <v>28</v>
      </c>
      <c r="AD19" s="41">
        <f>SUMIF('прогноз на 20.05.12'!$C$7:$C$83,$C19,'прогноз на 20.05.12'!V$7:V$83)+SUMIF('прогноз на 20.05.12'!$C$7:$C$83,$E19,'прогноз на 20.05.12'!V$7:V$83)+SUMIF('прогноз на 20.05.12'!$C$7:$C$83,$G19,'прогноз на 20.05.12'!V$7:V$83)+SUMIF('прогноз на 20.05.12'!$C$7:$C$83,$I19,'прогноз на 20.05.12'!V$7:V$83)+SUMIF('прогноз на 20.05.12'!$C$7:$C$83,$K19,'прогноз на 20.05.12'!V$7:V$83)</f>
        <v>154</v>
      </c>
      <c r="AE19" s="41">
        <f>SUMIF('прогноз на 20.05.12'!$C$7:$C$83,$C19,'прогноз на 20.05.12'!W$7:W$83)+SUMIF('прогноз на 20.05.12'!$C$7:$C$83,$E19,'прогноз на 20.05.12'!W$7:W$83)+SUMIF('прогноз на 20.05.12'!$C$7:$C$83,$G19,'прогноз на 20.05.12'!W$7:W$83)+SUMIF('прогноз на 20.05.12'!$C$7:$C$83,$I19,'прогноз на 20.05.12'!W$7:W$83)+SUMIF('прогноз на 20.05.12'!$C$7:$C$83,$K19,'прогноз на 20.05.12'!W$7:W$83)</f>
        <v>8</v>
      </c>
      <c r="AF19" s="41">
        <f>SUMIF('прогноз на 20.05.12'!$C$7:$C$83,$C19,'прогноз на 20.05.12'!X$7:X$83)+SUMIF('прогноз на 20.05.12'!$C$7:$C$83,$E19,'прогноз на 20.05.12'!X$7:X$83)+SUMIF('прогноз на 20.05.12'!$C$7:$C$83,$G19,'прогноз на 20.05.12'!X$7:X$83)+SUMIF('прогноз на 20.05.12'!$C$7:$C$83,$I19,'прогноз на 20.05.12'!X$7:X$83)+SUMIF('прогноз на 20.05.12'!$C$7:$C$83,$K19,'прогноз на 20.05.12'!X$7:X$83)</f>
        <v>4</v>
      </c>
      <c r="AG19" s="41">
        <f>SUMIF('прогноз на 20.05.12'!$C$7:$C$83,$C19,'прогноз на 20.05.12'!Y$7:Y$83)+SUMIF('прогноз на 20.05.12'!$C$7:$C$83,$E19,'прогноз на 20.05.12'!Y$7:Y$83)+SUMIF('прогноз на 20.05.12'!$C$7:$C$83,$G19,'прогноз на 20.05.12'!Y$7:Y$83)+SUMIF('прогноз на 20.05.12'!$C$7:$C$83,$I19,'прогноз на 20.05.12'!Y$7:Y$83)+SUMIF('прогноз на 20.05.12'!$C$7:$C$83,$K19,'прогноз на 20.05.12'!Y$7:Y$83)</f>
        <v>16</v>
      </c>
      <c r="AH19" s="41">
        <f>SUMIF('прогноз на 20.05.12'!$C$7:$C$83,$C19,'прогноз на 20.05.12'!Z$7:Z$83)+SUMIF('прогноз на 20.05.12'!$C$7:$C$83,$E19,'прогноз на 20.05.12'!Z$7:Z$83)+SUMIF('прогноз на 20.05.12'!$C$7:$C$83,$G19,'прогноз на 20.05.12'!Z$7:Z$83)+SUMIF('прогноз на 20.05.12'!$C$7:$C$83,$I19,'прогноз на 20.05.12'!Z$7:Z$83)+SUMIF('прогноз на 20.05.12'!$C$7:$C$83,$K19,'прогноз на 20.05.12'!Z$7:Z$83)</f>
        <v>28</v>
      </c>
      <c r="AI19" s="41">
        <f>SUMIF('прогноз на 20.05.12'!$C$7:$C$83,$C19,'прогноз на 20.05.12'!AA$7:AA$83)+SUMIF('прогноз на 20.05.12'!$C$7:$C$83,$E19,'прогноз на 20.05.12'!AA$7:AA$83)+SUMIF('прогноз на 20.05.12'!$C$7:$C$83,$G19,'прогноз на 20.05.12'!AA$7:AA$83)+SUMIF('прогноз на 20.05.12'!$C$7:$C$83,$I19,'прогноз на 20.05.12'!AA$7:AA$83)+SUMIF('прогноз на 20.05.12'!$C$7:$C$83,$K19,'прогноз на 20.05.12'!AA$7:AA$83)</f>
        <v>6</v>
      </c>
      <c r="AJ19" s="41">
        <f>SUMIF('прогноз на 20.05.12'!$C$7:$C$83,$C19,'прогноз на 20.05.12'!AB$7:AB$83)+SUMIF('прогноз на 20.05.12'!$C$7:$C$83,$E19,'прогноз на 20.05.12'!AB$7:AB$83)+SUMIF('прогноз на 20.05.12'!$C$7:$C$83,$G19,'прогноз на 20.05.12'!AB$7:AB$83)+SUMIF('прогноз на 20.05.12'!$C$7:$C$83,$I19,'прогноз на 20.05.12'!AB$7:AB$83)+SUMIF('прогноз на 20.05.12'!$C$7:$C$83,$K19,'прогноз на 20.05.12'!AB$7:AB$83)</f>
        <v>3</v>
      </c>
      <c r="AK19" s="41">
        <f>SUMIF('прогноз на 20.05.12'!$C$7:$C$83,$C19,'прогноз на 20.05.12'!AC$7:AC$83)+SUMIF('прогноз на 20.05.12'!$C$7:$C$83,$E19,'прогноз на 20.05.12'!AC$7:AC$83)+SUMIF('прогноз на 20.05.12'!$C$7:$C$83,$G19,'прогноз на 20.05.12'!AC$7:AC$83)+SUMIF('прогноз на 20.05.12'!$C$7:$C$83,$I19,'прогноз на 20.05.12'!AC$7:AC$83)+SUMIF('прогноз на 20.05.12'!$C$7:$C$83,$K19,'прогноз на 20.05.12'!AC$7:AC$83)</f>
        <v>12</v>
      </c>
      <c r="AL19" s="41">
        <f>SUMIF('прогноз на 20.05.12'!$C$7:$C$83,$C19,'прогноз на 20.05.12'!AD$7:AD$83)+SUMIF('прогноз на 20.05.12'!$C$7:$C$83,$E19,'прогноз на 20.05.12'!AD$7:AD$83)+SUMIF('прогноз на 20.05.12'!$C$7:$C$83,$G19,'прогноз на 20.05.12'!AD$7:AD$83)+SUMIF('прогноз на 20.05.12'!$C$7:$C$83,$I19,'прогноз на 20.05.12'!AD$7:AD$83)+SUMIF('прогноз на 20.05.12'!$C$7:$C$83,$K19,'прогноз на 20.05.12'!AD$7:AD$83)</f>
        <v>21</v>
      </c>
      <c r="AM19" s="41">
        <f>SUMIF('прогноз на 20.05.12'!$C$7:$C$83,$C19,'прогноз на 20.05.12'!AE$7:AE$83)+SUMIF('прогноз на 20.05.12'!$C$7:$C$83,$E19,'прогноз на 20.05.12'!AE$7:AE$83)+SUMIF('прогноз на 20.05.12'!$C$7:$C$83,$G19,'прогноз на 20.05.12'!AE$7:AE$83)+SUMIF('прогноз на 20.05.12'!$C$7:$C$83,$I19,'прогноз на 20.05.12'!AE$7:AE$83)+SUMIF('прогноз на 20.05.12'!$C$7:$C$83,$K19,'прогноз на 20.05.12'!AE$7:AE$83)</f>
        <v>54</v>
      </c>
      <c r="AN19" s="41">
        <f>SUMIF('прогноз на 20.05.12'!$C$7:$C$83,$C19,'прогноз на 20.05.12'!AF$7:AF$83)+SUMIF('прогноз на 20.05.12'!$C$7:$C$83,$E19,'прогноз на 20.05.12'!AF$7:AF$83)+SUMIF('прогноз на 20.05.12'!$C$7:$C$83,$G19,'прогноз на 20.05.12'!AF$7:AF$83)+SUMIF('прогноз на 20.05.12'!$C$7:$C$83,$I19,'прогноз на 20.05.12'!AF$7:AF$83)+SUMIF('прогноз на 20.05.12'!$C$7:$C$83,$K19,'прогноз на 20.05.12'!AF$7:AF$83)</f>
        <v>69</v>
      </c>
      <c r="AO19" s="41">
        <f>SUMIF('прогноз на 20.05.12'!$C$7:$C$83,$C19,'прогноз на 20.05.12'!AG$7:AG$83)+SUMIF('прогноз на 20.05.12'!$C$7:$C$83,$E19,'прогноз на 20.05.12'!AG$7:AG$83)+SUMIF('прогноз на 20.05.12'!$C$7:$C$83,$G19,'прогноз на 20.05.12'!AG$7:AG$83)+SUMIF('прогноз на 20.05.12'!$C$7:$C$83,$I19,'прогноз на 20.05.12'!AG$7:AG$83)+SUMIF('прогноз на 20.05.12'!$C$7:$C$83,$K19,'прогноз на 20.05.12'!AG$7:AG$83)</f>
        <v>24</v>
      </c>
      <c r="AP19" s="41">
        <f>SUMIF('прогноз на 20.05.12'!$C$7:$C$83,$C19,'прогноз на 20.05.12'!AH$7:AH$83)+SUMIF('прогноз на 20.05.12'!$C$7:$C$83,$E19,'прогноз на 20.05.12'!AH$7:AH$83)+SUMIF('прогноз на 20.05.12'!$C$7:$C$83,$G19,'прогноз на 20.05.12'!AH$7:AH$83)+SUMIF('прогноз на 20.05.12'!$C$7:$C$83,$I19,'прогноз на 20.05.12'!AH$7:AH$83)+SUMIF('прогноз на 20.05.12'!$C$7:$C$83,$K19,'прогноз на 20.05.12'!AH$7:AH$83)</f>
        <v>147</v>
      </c>
      <c r="AQ19" s="41">
        <f>SUMIF('прогноз на 20.05.12'!$C$7:$C$83,$C19,'прогноз на 20.05.12'!AM$7:AM$83)+SUMIF('прогноз на 20.05.12'!$C$7:$C$83,$E19,'прогноз на 20.05.12'!AM$7:AM$83)+SUMIF('прогноз на 20.05.12'!$C$7:$C$83,$G19,'прогноз на 20.05.12'!AM$7:AM$83)+SUMIF('прогноз на 20.05.12'!$C$7:$C$83,$I19,'прогноз на 20.05.12'!AM$7:AM$83)+SUMIF('прогноз на 20.05.12'!$C$7:$C$83,$K19,'прогноз на 20.05.12'!AM$7:AM$83)</f>
        <v>119742</v>
      </c>
      <c r="AR19" s="41">
        <f>SUMIF('прогноз на 20.05.12'!$C$7:$C$83,$C19,'прогноз на 20.05.12'!AN$7:AN$83)+SUMIF('прогноз на 20.05.12'!$C$7:$C$83,$E19,'прогноз на 20.05.12'!AN$7:AN$83)+SUMIF('прогноз на 20.05.12'!$C$7:$C$83,$G19,'прогноз на 20.05.12'!AN$7:AN$83)+SUMIF('прогноз на 20.05.12'!$C$7:$C$83,$I19,'прогноз на 20.05.12'!AN$7:AN$83)+SUMIF('прогноз на 20.05.12'!$C$7:$C$83,$K19,'прогноз на 20.05.12'!AN$7:AN$83)</f>
        <v>101937</v>
      </c>
      <c r="AS19" s="41">
        <f>SUMIF('прогноз на 20.05.12'!$C$7:$C$83,$C19,'прогноз на 20.05.12'!AO$7:AO$83)+SUMIF('прогноз на 20.05.12'!$C$7:$C$83,$E19,'прогноз на 20.05.12'!AO$7:AO$83)+SUMIF('прогноз на 20.05.12'!$C$7:$C$83,$G19,'прогноз на 20.05.12'!AO$7:AO$83)+SUMIF('прогноз на 20.05.12'!$C$7:$C$83,$I19,'прогноз на 20.05.12'!AO$7:AO$83)+SUMIF('прогноз на 20.05.12'!$C$7:$C$83,$K19,'прогноз на 20.05.12'!AO$7:AO$83)</f>
        <v>435444</v>
      </c>
      <c r="AT19" s="41">
        <f>SUMIF('прогноз на 20.05.12'!$C$7:$C$83,$C19,'прогноз на 20.05.12'!AP$7:AP$83)+SUMIF('прогноз на 20.05.12'!$C$7:$C$83,$E19,'прогноз на 20.05.12'!AP$7:AP$83)+SUMIF('прогноз на 20.05.12'!$C$7:$C$83,$G19,'прогноз на 20.05.12'!AP$7:AP$83)+SUMIF('прогноз на 20.05.12'!$C$7:$C$83,$I19,'прогноз на 20.05.12'!AP$7:AP$83)+SUMIF('прогноз на 20.05.12'!$C$7:$C$83,$K19,'прогноз на 20.05.12'!AP$7:AP$83)</f>
        <v>657123</v>
      </c>
      <c r="AU19" s="41">
        <f>SUMIF('прогноз на 20.05.12'!$C$7:$C$83,$C19,'прогноз на 20.05.12'!AU$7:AU$83)+SUMIF('прогноз на 20.05.12'!$C$7:$C$83,$E19,'прогноз на 20.05.12'!AU$7:AU$83)+SUMIF('прогноз на 20.05.12'!$C$7:$C$83,$G19,'прогноз на 20.05.12'!AU$7:AU$83)+SUMIF('прогноз на 20.05.12'!$C$7:$C$83,$I19,'прогноз на 20.05.12'!AU$7:AU$83)+SUMIF('прогноз на 20.05.12'!$C$7:$C$83,$K19,'прогноз на 20.05.12'!AU$7:AU$83)</f>
        <v>7590</v>
      </c>
      <c r="AV19" s="41">
        <f>SUMIF('прогноз на 20.05.12'!$C$7:$C$83,$C19,'прогноз на 20.05.12'!AV$7:AV$83)+SUMIF('прогноз на 20.05.12'!$C$7:$C$83,$E19,'прогноз на 20.05.12'!AV$7:AV$83)+SUMIF('прогноз на 20.05.12'!$C$7:$C$83,$G19,'прогноз на 20.05.12'!AV$7:AV$83)+SUMIF('прогноз на 20.05.12'!$C$7:$C$83,$I19,'прогноз на 20.05.12'!AV$7:AV$83)+SUMIF('прогноз на 20.05.12'!$C$7:$C$83,$K19,'прогноз на 20.05.12'!AV$7:AV$83)</f>
        <v>4323</v>
      </c>
      <c r="AW19" s="41">
        <f>SUMIF('прогноз на 20.05.12'!$C$7:$C$83,$C19,'прогноз на 20.05.12'!AW$7:AW$83)+SUMIF('прогноз на 20.05.12'!$C$7:$C$83,$E19,'прогноз на 20.05.12'!AW$7:AW$83)+SUMIF('прогноз на 20.05.12'!$C$7:$C$83,$G19,'прогноз на 20.05.12'!AW$7:AW$83)+SUMIF('прогноз на 20.05.12'!$C$7:$C$83,$I19,'прогноз на 20.05.12'!AW$7:AW$83)+SUMIF('прогноз на 20.05.12'!$C$7:$C$83,$K19,'прогноз на 20.05.12'!AW$7:AW$83)</f>
        <v>21924</v>
      </c>
      <c r="AX19" s="41">
        <f>SUMIF('прогноз на 20.05.12'!$C$7:$C$83,$C19,'прогноз на 20.05.12'!AX$7:AX$83)+SUMIF('прогноз на 20.05.12'!$C$7:$C$83,$E19,'прогноз на 20.05.12'!AX$7:AX$83)+SUMIF('прогноз на 20.05.12'!$C$7:$C$83,$G19,'прогноз на 20.05.12'!AX$7:AX$83)+SUMIF('прогноз на 20.05.12'!$C$7:$C$83,$I19,'прогноз на 20.05.12'!AX$7:AX$83)+SUMIF('прогноз на 20.05.12'!$C$7:$C$83,$K19,'прогноз на 20.05.12'!AX$7:AX$83)</f>
        <v>33837</v>
      </c>
      <c r="AY19" s="41">
        <f>SUMIF('прогноз на 20.05.12'!$C$7:$C$83,$C19,'прогноз на 20.05.12'!AY$7:AY$83)+SUMIF('прогноз на 20.05.12'!$C$7:$C$83,$E19,'прогноз на 20.05.12'!AY$7:AY$83)+SUMIF('прогноз на 20.05.12'!$C$7:$C$83,$G19,'прогноз на 20.05.12'!AY$7:AY$83)+SUMIF('прогноз на 20.05.12'!$C$7:$C$83,$I19,'прогноз на 20.05.12'!AY$7:AY$83)+SUMIF('прогноз на 20.05.12'!$C$7:$C$83,$K19,'прогноз на 20.05.12'!AY$7:AY$83)</f>
        <v>127332</v>
      </c>
      <c r="AZ19" s="41">
        <f>SUMIF('прогноз на 20.05.12'!$C$7:$C$83,$C19,'прогноз на 20.05.12'!AZ$7:AZ$83)+SUMIF('прогноз на 20.05.12'!$C$7:$C$83,$E19,'прогноз на 20.05.12'!AZ$7:AZ$83)+SUMIF('прогноз на 20.05.12'!$C$7:$C$83,$G19,'прогноз на 20.05.12'!AZ$7:AZ$83)+SUMIF('прогноз на 20.05.12'!$C$7:$C$83,$I19,'прогноз на 20.05.12'!AZ$7:AZ$83)+SUMIF('прогноз на 20.05.12'!$C$7:$C$83,$K19,'прогноз на 20.05.12'!AZ$7:AZ$83)</f>
        <v>106260</v>
      </c>
      <c r="BA19" s="41">
        <f>SUMIF('прогноз на 20.05.12'!$C$7:$C$83,$C19,'прогноз на 20.05.12'!BA$7:BA$83)+SUMIF('прогноз на 20.05.12'!$C$7:$C$83,$E19,'прогноз на 20.05.12'!BA$7:BA$83)+SUMIF('прогноз на 20.05.12'!$C$7:$C$83,$G19,'прогноз на 20.05.12'!BA$7:BA$83)+SUMIF('прогноз на 20.05.12'!$C$7:$C$83,$I19,'прогноз на 20.05.12'!BA$7:BA$83)+SUMIF('прогноз на 20.05.12'!$C$7:$C$83,$K19,'прогноз на 20.05.12'!BA$7:BA$83)</f>
        <v>457368</v>
      </c>
      <c r="BB19" s="41">
        <f>SUMIF('прогноз на 20.05.12'!$C$7:$C$83,$C19,'прогноз на 20.05.12'!BB$7:BB$83)+SUMIF('прогноз на 20.05.12'!$C$7:$C$83,$E19,'прогноз на 20.05.12'!BB$7:BB$83)+SUMIF('прогноз на 20.05.12'!$C$7:$C$83,$G19,'прогноз на 20.05.12'!BB$7:BB$83)+SUMIF('прогноз на 20.05.12'!$C$7:$C$83,$I19,'прогноз на 20.05.12'!BB$7:BB$83)+SUMIF('прогноз на 20.05.12'!$C$7:$C$83,$K19,'прогноз на 20.05.12'!BB$7:BB$83)</f>
        <v>690960</v>
      </c>
      <c r="BC19" s="41">
        <f>SUMIF('прогноз на 20.05.12'!$C$7:$C$83,$C19,'прогноз на 20.05.12'!BC$7:BC$83)+SUMIF('прогноз на 20.05.12'!$C$7:$C$83,$E19,'прогноз на 20.05.12'!BC$7:BC$83)+SUMIF('прогноз на 20.05.12'!$C$7:$C$83,$G19,'прогноз на 20.05.12'!BC$7:BC$83)+SUMIF('прогноз на 20.05.12'!$C$7:$C$83,$I19,'прогноз на 20.05.12'!BC$7:BC$83)+SUMIF('прогноз на 20.05.12'!$C$7:$C$83,$K19,'прогноз на 20.05.12'!BC$7:BC$83)</f>
        <v>350395</v>
      </c>
      <c r="BD19" s="41">
        <f>SUMIF('прогноз на 20.05.12'!$C$7:$C$83,$C19,'прогноз на 20.05.12'!BD$7:BD$83)+SUMIF('прогноз на 20.05.12'!$C$7:$C$83,$E19,'прогноз на 20.05.12'!BD$7:BD$83)+SUMIF('прогноз на 20.05.12'!$C$7:$C$83,$G19,'прогноз на 20.05.12'!BD$7:BD$83)+SUMIF('прогноз на 20.05.12'!$C$7:$C$83,$I19,'прогноз на 20.05.12'!BD$7:BD$83)+SUMIF('прогноз на 20.05.12'!$C$7:$C$83,$K19,'прогноз на 20.05.12'!BD$7:BD$83)</f>
        <v>350395</v>
      </c>
      <c r="BE19" s="41">
        <f>SUMIF('прогноз на 20.05.12'!$C$7:$C$83,$C19,'прогноз на 20.05.12'!BE$7:BE$83)+SUMIF('прогноз на 20.05.12'!$C$7:$C$83,$E19,'прогноз на 20.05.12'!BE$7:BE$83)+SUMIF('прогноз на 20.05.12'!$C$7:$C$83,$G19,'прогноз на 20.05.12'!BE$7:BE$83)+SUMIF('прогноз на 20.05.12'!$C$7:$C$83,$I19,'прогноз на 20.05.12'!BE$7:BE$83)+SUMIF('прогноз на 20.05.12'!$C$7:$C$83,$K19,'прогноз на 20.05.12'!BE$7:BE$83)</f>
        <v>0</v>
      </c>
      <c r="BF19" s="41">
        <f>SUMIF('прогноз на 20.05.12'!$C$7:$C$83,$C19,'прогноз на 20.05.12'!BF$7:BF$83)+SUMIF('прогноз на 20.05.12'!$C$7:$C$83,$E19,'прогноз на 20.05.12'!BF$7:BF$83)+SUMIF('прогноз на 20.05.12'!$C$7:$C$83,$G19,'прогноз на 20.05.12'!BF$7:BF$83)+SUMIF('прогноз на 20.05.12'!$C$7:$C$83,$I19,'прогноз на 20.05.12'!BF$7:BF$83)+SUMIF('прогноз на 20.05.12'!$C$7:$C$83,$K19,'прогноз на 20.05.12'!BF$7:BF$83)</f>
        <v>-340565</v>
      </c>
      <c r="BG19" s="41">
        <f>SUMIF('прогноз на 20.05.12'!$C$7:$C$83,$C19,'прогноз на 20.05.12'!BG$7:BG$83)+SUMIF('прогноз на 20.05.12'!$C$7:$C$83,$E19,'прогноз на 20.05.12'!BG$7:BG$83)+SUMIF('прогноз на 20.05.12'!$C$7:$C$83,$G19,'прогноз на 20.05.12'!BG$7:BG$83)+SUMIF('прогноз на 20.05.12'!$C$7:$C$83,$I19,'прогноз на 20.05.12'!BG$7:BG$83)+SUMIF('прогноз на 20.05.12'!$C$7:$C$83,$K19,'прогноз на 20.05.12'!BG$7:BG$83)</f>
        <v>0</v>
      </c>
      <c r="BH19" s="41">
        <f>SUMIF('прогноз на 20.05.12'!$C$7:$C$83,$C19,'прогноз на 20.05.12'!BH$7:BH$83)+SUMIF('прогноз на 20.05.12'!$C$7:$C$83,$E19,'прогноз на 20.05.12'!BH$7:BH$83)+SUMIF('прогноз на 20.05.12'!$C$7:$C$83,$G19,'прогноз на 20.05.12'!BH$7:BH$83)+SUMIF('прогноз на 20.05.12'!$C$7:$C$83,$I19,'прогноз на 20.05.12'!BH$7:BH$83)+SUMIF('прогноз на 20.05.12'!$C$7:$C$83,$K19,'прогноз на 20.05.12'!BH$7:BH$83)</f>
        <v>-340565</v>
      </c>
      <c r="BI19" s="90">
        <f t="shared" si="10"/>
        <v>12</v>
      </c>
      <c r="BJ19" s="90">
        <f t="shared" si="11"/>
        <v>13.2</v>
      </c>
      <c r="BK19" s="90">
        <f t="shared" si="12"/>
        <v>6</v>
      </c>
      <c r="BL19" s="90">
        <f t="shared" si="13"/>
        <v>11.454545454545455</v>
      </c>
    </row>
    <row r="20" spans="1:64" s="59" customFormat="1" ht="18.75">
      <c r="A20" s="38">
        <v>14</v>
      </c>
      <c r="B20" s="39" t="s">
        <v>57</v>
      </c>
      <c r="C20" s="40" t="s">
        <v>214</v>
      </c>
      <c r="D20" s="58"/>
      <c r="E20" s="58"/>
      <c r="F20" s="58"/>
      <c r="G20" s="58"/>
      <c r="H20" s="58"/>
      <c r="I20" s="58"/>
      <c r="J20" s="58"/>
      <c r="K20" s="58"/>
      <c r="L20" s="41">
        <f>SUMIF('прогноз на 20.05.12'!$C$7:$C$83,$C20,'прогноз на 20.05.12'!D$7:D$83)+SUMIF('прогноз на 20.05.12'!$C$7:$C$83,$E20,'прогноз на 20.05.12'!D$7:D$83)+SUMIF('прогноз на 20.05.12'!$C$7:$C$83,$G20,'прогноз на 20.05.12'!D$7:D$83)+SUMIF('прогноз на 20.05.12'!$C$7:$C$83,$I20,'прогноз на 20.05.12'!D$7:D$83)+SUMIF('прогноз на 20.05.12'!$C$7:$C$83,$K20,'прогноз на 20.05.12'!D$7:D$83)</f>
        <v>24</v>
      </c>
      <c r="M20" s="41">
        <f>SUMIF('прогноз на 20.05.12'!$C$7:$C$83,$C20,'прогноз на 20.05.12'!E$7:E$83)+SUMIF('прогноз на 20.05.12'!$C$7:$C$83,$E20,'прогноз на 20.05.12'!E$7:E$83)+SUMIF('прогноз на 20.05.12'!$C$7:$C$83,$G20,'прогноз на 20.05.12'!E$7:E$83)+SUMIF('прогноз на 20.05.12'!$C$7:$C$83,$I20,'прогноз на 20.05.12'!E$7:E$83)+SUMIF('прогноз на 20.05.12'!$C$7:$C$83,$K20,'прогноз на 20.05.12'!E$7:E$83)</f>
        <v>46</v>
      </c>
      <c r="N20" s="41">
        <f>SUMIF('прогноз на 20.05.12'!$C$7:$C$83,$C20,'прогноз на 20.05.12'!F$7:F$83)+SUMIF('прогноз на 20.05.12'!$C$7:$C$83,$E20,'прогноз на 20.05.12'!F$7:F$83)+SUMIF('прогноз на 20.05.12'!$C$7:$C$83,$G20,'прогноз на 20.05.12'!F$7:F$83)+SUMIF('прогноз на 20.05.12'!$C$7:$C$83,$I20,'прогноз на 20.05.12'!F$7:F$83)+SUMIF('прогноз на 20.05.12'!$C$7:$C$83,$K20,'прогноз на 20.05.12'!F$7:F$83)</f>
        <v>23</v>
      </c>
      <c r="O20" s="44">
        <f t="shared" si="6"/>
        <v>93</v>
      </c>
      <c r="P20" s="41">
        <f>SUMIF('прогноз на 20.05.12'!$C$7:$C$83,$C20,'прогноз на 20.05.12'!H$7:H$83)+SUMIF('прогноз на 20.05.12'!$C$7:$C$83,$E20,'прогноз на 20.05.12'!H$7:H$83)+SUMIF('прогноз на 20.05.12'!$C$7:$C$83,$G20,'прогноз на 20.05.12'!H$7:H$83)+SUMIF('прогноз на 20.05.12'!$C$7:$C$83,$I20,'прогноз на 20.05.12'!H$7:H$83)+SUMIF('прогноз на 20.05.12'!$C$7:$C$83,$K20,'прогноз на 20.05.12'!H$7:H$83)</f>
        <v>2</v>
      </c>
      <c r="Q20" s="41">
        <f>SUMIF('прогноз на 20.05.12'!$C$7:$C$83,$C20,'прогноз на 20.05.12'!I$7:I$83)+SUMIF('прогноз на 20.05.12'!$C$7:$C$83,$E20,'прогноз на 20.05.12'!I$7:I$83)+SUMIF('прогноз на 20.05.12'!$C$7:$C$83,$G20,'прогноз на 20.05.12'!I$7:I$83)+SUMIF('прогноз на 20.05.12'!$C$7:$C$83,$I20,'прогноз на 20.05.12'!I$7:I$83)+SUMIF('прогноз на 20.05.12'!$C$7:$C$83,$K20,'прогноз на 20.05.12'!I$7:I$83)</f>
        <v>5</v>
      </c>
      <c r="R20" s="41">
        <f>SUMIF('прогноз на 20.05.12'!$C$7:$C$83,$C20,'прогноз на 20.05.12'!J$7:J$83)+SUMIF('прогноз на 20.05.12'!$C$7:$C$83,$E20,'прогноз на 20.05.12'!J$7:J$83)+SUMIF('прогноз на 20.05.12'!$C$7:$C$83,$G20,'прогноз на 20.05.12'!J$7:J$83)+SUMIF('прогноз на 20.05.12'!$C$7:$C$83,$I20,'прогноз на 20.05.12'!J$7:J$83)+SUMIF('прогноз на 20.05.12'!$C$7:$C$83,$K20,'прогноз на 20.05.12'!J$7:J$83)</f>
        <v>2</v>
      </c>
      <c r="S20" s="45">
        <f t="shared" si="7"/>
        <v>9</v>
      </c>
      <c r="T20" s="41">
        <f>SUMIF('прогноз на 20.05.12'!$C$7:$C$83,$C20,'прогноз на 20.05.12'!L$7:L$83)+SUMIF('прогноз на 20.05.12'!$C$7:$C$83,$E20,'прогноз на 20.05.12'!L$7:L$83)+SUMIF('прогноз на 20.05.12'!$C$7:$C$83,$G20,'прогноз на 20.05.12'!L$7:L$83)+SUMIF('прогноз на 20.05.12'!$C$7:$C$83,$I20,'прогноз на 20.05.12'!L$7:L$83)+SUMIF('прогноз на 20.05.12'!$C$7:$C$83,$K20,'прогноз на 20.05.12'!L$7:L$83)</f>
        <v>0</v>
      </c>
      <c r="U20" s="41">
        <f>SUMIF('прогноз на 20.05.12'!$C$7:$C$83,$C20,'прогноз на 20.05.12'!M$7:M$83)+SUMIF('прогноз на 20.05.12'!$C$7:$C$83,$E20,'прогноз на 20.05.12'!M$7:M$83)+SUMIF('прогноз на 20.05.12'!$C$7:$C$83,$G20,'прогноз на 20.05.12'!M$7:M$83)+SUMIF('прогноз на 20.05.12'!$C$7:$C$83,$I20,'прогноз на 20.05.12'!M$7:M$83)+SUMIF('прогноз на 20.05.12'!$C$7:$C$83,$K20,'прогноз на 20.05.12'!M$7:M$83)</f>
        <v>0</v>
      </c>
      <c r="V20" s="41">
        <f>SUMIF('прогноз на 20.05.12'!$C$7:$C$83,$C20,'прогноз на 20.05.12'!N$7:N$83)+SUMIF('прогноз на 20.05.12'!$C$7:$C$83,$E20,'прогноз на 20.05.12'!N$7:N$83)+SUMIF('прогноз на 20.05.12'!$C$7:$C$83,$G20,'прогноз на 20.05.12'!N$7:N$83)+SUMIF('прогноз на 20.05.12'!$C$7:$C$83,$I20,'прогноз на 20.05.12'!N$7:N$83)+SUMIF('прогноз на 20.05.12'!$C$7:$C$83,$K20,'прогноз на 20.05.12'!N$7:N$83)</f>
        <v>0</v>
      </c>
      <c r="W20" s="45">
        <f t="shared" si="8"/>
        <v>0</v>
      </c>
      <c r="X20" s="41">
        <f>SUMIF('прогноз на 20.05.12'!$C$7:$C$83,$C20,'прогноз на 20.05.12'!P$7:P$83)+SUMIF('прогноз на 20.05.12'!$C$7:$C$83,$E20,'прогноз на 20.05.12'!P$7:P$83)+SUMIF('прогноз на 20.05.12'!$C$7:$C$83,$G20,'прогноз на 20.05.12'!P$7:P$83)+SUMIF('прогноз на 20.05.12'!$C$7:$C$83,$I20,'прогноз на 20.05.12'!P$7:P$83)+SUMIF('прогноз на 20.05.12'!$C$7:$C$83,$K20,'прогноз на 20.05.12'!P$7:P$83)</f>
        <v>1</v>
      </c>
      <c r="Y20" s="41">
        <f>SUMIF('прогноз на 20.05.12'!$C$7:$C$83,$C20,'прогноз на 20.05.12'!Q$7:Q$83)+SUMIF('прогноз на 20.05.12'!$C$7:$C$83,$E20,'прогноз на 20.05.12'!Q$7:Q$83)+SUMIF('прогноз на 20.05.12'!$C$7:$C$83,$G20,'прогноз на 20.05.12'!Q$7:Q$83)+SUMIF('прогноз на 20.05.12'!$C$7:$C$83,$I20,'прогноз на 20.05.12'!Q$7:Q$83)+SUMIF('прогноз на 20.05.12'!$C$7:$C$83,$K20,'прогноз на 20.05.12'!Q$7:Q$83)</f>
        <v>24</v>
      </c>
      <c r="Z20" s="41">
        <f>SUMIF('прогноз на 20.05.12'!$C$7:$C$83,$C20,'прогноз на 20.05.12'!R$7:R$83)+SUMIF('прогноз на 20.05.12'!$C$7:$C$83,$E20,'прогноз на 20.05.12'!R$7:R$83)+SUMIF('прогноз на 20.05.12'!$C$7:$C$83,$G20,'прогноз на 20.05.12'!R$7:R$83)+SUMIF('прогноз на 20.05.12'!$C$7:$C$83,$I20,'прогноз на 20.05.12'!R$7:R$83)+SUMIF('прогноз на 20.05.12'!$C$7:$C$83,$K20,'прогноз на 20.05.12'!R$7:R$83)</f>
        <v>0</v>
      </c>
      <c r="AA20" s="41">
        <f>SUMIF('прогноз на 20.05.12'!$C$7:$C$83,$C20,'прогноз на 20.05.12'!S$7:S$83)+SUMIF('прогноз на 20.05.12'!$C$7:$C$83,$E20,'прогноз на 20.05.12'!S$7:S$83)+SUMIF('прогноз на 20.05.12'!$C$7:$C$83,$G20,'прогноз на 20.05.12'!S$7:S$83)+SUMIF('прогноз на 20.05.12'!$C$7:$C$83,$I20,'прогноз на 20.05.12'!S$7:S$83)+SUMIF('прогноз на 20.05.12'!$C$7:$C$83,$K20,'прогноз на 20.05.12'!S$7:S$83)</f>
        <v>28</v>
      </c>
      <c r="AB20" s="41">
        <f>SUMIF('прогноз на 20.05.12'!$C$7:$C$83,$C20,'прогноз на 20.05.12'!T$7:T$83)+SUMIF('прогноз на 20.05.12'!$C$7:$C$83,$E20,'прогноз на 20.05.12'!T$7:T$83)+SUMIF('прогноз на 20.05.12'!$C$7:$C$83,$G20,'прогноз на 20.05.12'!T$7:T$83)+SUMIF('прогноз на 20.05.12'!$C$7:$C$83,$I20,'прогноз на 20.05.12'!T$7:T$83)+SUMIF('прогноз на 20.05.12'!$C$7:$C$83,$K20,'прогноз на 20.05.12'!T$7:T$83)</f>
        <v>70</v>
      </c>
      <c r="AC20" s="41">
        <f>SUMIF('прогноз на 20.05.12'!$C$7:$C$83,$C20,'прогноз на 20.05.12'!U$7:U$83)+SUMIF('прогноз на 20.05.12'!$C$7:$C$83,$E20,'прогноз на 20.05.12'!U$7:U$83)+SUMIF('прогноз на 20.05.12'!$C$7:$C$83,$G20,'прогноз на 20.05.12'!U$7:U$83)+SUMIF('прогноз на 20.05.12'!$C$7:$C$83,$I20,'прогноз на 20.05.12'!U$7:U$83)+SUMIF('прогноз на 20.05.12'!$C$7:$C$83,$K20,'прогноз на 20.05.12'!U$7:U$83)</f>
        <v>28</v>
      </c>
      <c r="AD20" s="41">
        <f>SUMIF('прогноз на 20.05.12'!$C$7:$C$83,$C20,'прогноз на 20.05.12'!V$7:V$83)+SUMIF('прогноз на 20.05.12'!$C$7:$C$83,$E20,'прогноз на 20.05.12'!V$7:V$83)+SUMIF('прогноз на 20.05.12'!$C$7:$C$83,$G20,'прогноз на 20.05.12'!V$7:V$83)+SUMIF('прогноз на 20.05.12'!$C$7:$C$83,$I20,'прогноз на 20.05.12'!V$7:V$83)+SUMIF('прогноз на 20.05.12'!$C$7:$C$83,$K20,'прогноз на 20.05.12'!V$7:V$83)</f>
        <v>126</v>
      </c>
      <c r="AE20" s="41">
        <f>SUMIF('прогноз на 20.05.12'!$C$7:$C$83,$C20,'прогноз на 20.05.12'!W$7:W$83)+SUMIF('прогноз на 20.05.12'!$C$7:$C$83,$E20,'прогноз на 20.05.12'!W$7:W$83)+SUMIF('прогноз на 20.05.12'!$C$7:$C$83,$G20,'прогноз на 20.05.12'!W$7:W$83)+SUMIF('прогноз на 20.05.12'!$C$7:$C$83,$I20,'прогноз на 20.05.12'!W$7:W$83)+SUMIF('прогноз на 20.05.12'!$C$7:$C$83,$K20,'прогноз на 20.05.12'!W$7:W$83)</f>
        <v>4</v>
      </c>
      <c r="AF20" s="41">
        <f>SUMIF('прогноз на 20.05.12'!$C$7:$C$83,$C20,'прогноз на 20.05.12'!X$7:X$83)+SUMIF('прогноз на 20.05.12'!$C$7:$C$83,$E20,'прогноз на 20.05.12'!X$7:X$83)+SUMIF('прогноз на 20.05.12'!$C$7:$C$83,$G20,'прогноз на 20.05.12'!X$7:X$83)+SUMIF('прогноз на 20.05.12'!$C$7:$C$83,$I20,'прогноз на 20.05.12'!X$7:X$83)+SUMIF('прогноз на 20.05.12'!$C$7:$C$83,$K20,'прогноз на 20.05.12'!X$7:X$83)</f>
        <v>24</v>
      </c>
      <c r="AG20" s="41">
        <f>SUMIF('прогноз на 20.05.12'!$C$7:$C$83,$C20,'прогноз на 20.05.12'!Y$7:Y$83)+SUMIF('прогноз на 20.05.12'!$C$7:$C$83,$E20,'прогноз на 20.05.12'!Y$7:Y$83)+SUMIF('прогноз на 20.05.12'!$C$7:$C$83,$G20,'прогноз на 20.05.12'!Y$7:Y$83)+SUMIF('прогноз на 20.05.12'!$C$7:$C$83,$I20,'прогноз на 20.05.12'!Y$7:Y$83)+SUMIF('прогноз на 20.05.12'!$C$7:$C$83,$K20,'прогноз на 20.05.12'!Y$7:Y$83)</f>
        <v>5</v>
      </c>
      <c r="AH20" s="41">
        <f>SUMIF('прогноз на 20.05.12'!$C$7:$C$83,$C20,'прогноз на 20.05.12'!Z$7:Z$83)+SUMIF('прогноз на 20.05.12'!$C$7:$C$83,$E20,'прогноз на 20.05.12'!Z$7:Z$83)+SUMIF('прогноз на 20.05.12'!$C$7:$C$83,$G20,'прогноз на 20.05.12'!Z$7:Z$83)+SUMIF('прогноз на 20.05.12'!$C$7:$C$83,$I20,'прогноз на 20.05.12'!Z$7:Z$83)+SUMIF('прогноз на 20.05.12'!$C$7:$C$83,$K20,'прогноз на 20.05.12'!Z$7:Z$83)</f>
        <v>33</v>
      </c>
      <c r="AI20" s="41">
        <f>SUMIF('прогноз на 20.05.12'!$C$7:$C$83,$C20,'прогноз на 20.05.12'!AA$7:AA$83)+SUMIF('прогноз на 20.05.12'!$C$7:$C$83,$E20,'прогноз на 20.05.12'!AA$7:AA$83)+SUMIF('прогноз на 20.05.12'!$C$7:$C$83,$G20,'прогноз на 20.05.12'!AA$7:AA$83)+SUMIF('прогноз на 20.05.12'!$C$7:$C$83,$I20,'прогноз на 20.05.12'!AA$7:AA$83)+SUMIF('прогноз на 20.05.12'!$C$7:$C$83,$K20,'прогноз на 20.05.12'!AA$7:AA$83)</f>
        <v>3</v>
      </c>
      <c r="AJ20" s="41">
        <f>SUMIF('прогноз на 20.05.12'!$C$7:$C$83,$C20,'прогноз на 20.05.12'!AB$7:AB$83)+SUMIF('прогноз на 20.05.12'!$C$7:$C$83,$E20,'прогноз на 20.05.12'!AB$7:AB$83)+SUMIF('прогноз на 20.05.12'!$C$7:$C$83,$G20,'прогноз на 20.05.12'!AB$7:AB$83)+SUMIF('прогноз на 20.05.12'!$C$7:$C$83,$I20,'прогноз на 20.05.12'!AB$7:AB$83)+SUMIF('прогноз на 20.05.12'!$C$7:$C$83,$K20,'прогноз на 20.05.12'!AB$7:AB$83)</f>
        <v>18</v>
      </c>
      <c r="AK20" s="41">
        <f>SUMIF('прогноз на 20.05.12'!$C$7:$C$83,$C20,'прогноз на 20.05.12'!AC$7:AC$83)+SUMIF('прогноз на 20.05.12'!$C$7:$C$83,$E20,'прогноз на 20.05.12'!AC$7:AC$83)+SUMIF('прогноз на 20.05.12'!$C$7:$C$83,$G20,'прогноз на 20.05.12'!AC$7:AC$83)+SUMIF('прогноз на 20.05.12'!$C$7:$C$83,$I20,'прогноз на 20.05.12'!AC$7:AC$83)+SUMIF('прогноз на 20.05.12'!$C$7:$C$83,$K20,'прогноз на 20.05.12'!AC$7:AC$83)</f>
        <v>3.75</v>
      </c>
      <c r="AL20" s="41">
        <f>SUMIF('прогноз на 20.05.12'!$C$7:$C$83,$C20,'прогноз на 20.05.12'!AD$7:AD$83)+SUMIF('прогноз на 20.05.12'!$C$7:$C$83,$E20,'прогноз на 20.05.12'!AD$7:AD$83)+SUMIF('прогноз на 20.05.12'!$C$7:$C$83,$G20,'прогноз на 20.05.12'!AD$7:AD$83)+SUMIF('прогноз на 20.05.12'!$C$7:$C$83,$I20,'прогноз на 20.05.12'!AD$7:AD$83)+SUMIF('прогноз на 20.05.12'!$C$7:$C$83,$K20,'прогноз на 20.05.12'!AD$7:AD$83)</f>
        <v>24.75</v>
      </c>
      <c r="AM20" s="41">
        <f>SUMIF('прогноз на 20.05.12'!$C$7:$C$83,$C20,'прогноз на 20.05.12'!AE$7:AE$83)+SUMIF('прогноз на 20.05.12'!$C$7:$C$83,$E20,'прогноз на 20.05.12'!AE$7:AE$83)+SUMIF('прогноз на 20.05.12'!$C$7:$C$83,$G20,'прогноз на 20.05.12'!AE$7:AE$83)+SUMIF('прогноз на 20.05.12'!$C$7:$C$83,$I20,'прогноз на 20.05.12'!AE$7:AE$83)+SUMIF('прогноз на 20.05.12'!$C$7:$C$83,$K20,'прогноз на 20.05.12'!AE$7:AE$83)</f>
        <v>27</v>
      </c>
      <c r="AN20" s="41">
        <f>SUMIF('прогноз на 20.05.12'!$C$7:$C$83,$C20,'прогноз на 20.05.12'!AF$7:AF$83)+SUMIF('прогноз на 20.05.12'!$C$7:$C$83,$E20,'прогноз на 20.05.12'!AF$7:AF$83)+SUMIF('прогноз на 20.05.12'!$C$7:$C$83,$G20,'прогноз на 20.05.12'!AF$7:AF$83)+SUMIF('прогноз на 20.05.12'!$C$7:$C$83,$I20,'прогноз на 20.05.12'!AF$7:AF$83)+SUMIF('прогноз на 20.05.12'!$C$7:$C$83,$K20,'прогноз на 20.05.12'!AF$7:AF$83)</f>
        <v>64</v>
      </c>
      <c r="AO20" s="41">
        <f>SUMIF('прогноз на 20.05.12'!$C$7:$C$83,$C20,'прогноз на 20.05.12'!AG$7:AG$83)+SUMIF('прогноз на 20.05.12'!$C$7:$C$83,$E20,'прогноз на 20.05.12'!AG$7:AG$83)+SUMIF('прогноз на 20.05.12'!$C$7:$C$83,$G20,'прогноз на 20.05.12'!AG$7:AG$83)+SUMIF('прогноз на 20.05.12'!$C$7:$C$83,$I20,'прогноз на 20.05.12'!AG$7:AG$83)+SUMIF('прогноз на 20.05.12'!$C$7:$C$83,$K20,'прогноз на 20.05.12'!AG$7:AG$83)</f>
        <v>26.75</v>
      </c>
      <c r="AP20" s="41">
        <f>SUMIF('прогноз на 20.05.12'!$C$7:$C$83,$C20,'прогноз на 20.05.12'!AH$7:AH$83)+SUMIF('прогноз на 20.05.12'!$C$7:$C$83,$E20,'прогноз на 20.05.12'!AH$7:AH$83)+SUMIF('прогноз на 20.05.12'!$C$7:$C$83,$G20,'прогноз на 20.05.12'!AH$7:AH$83)+SUMIF('прогноз на 20.05.12'!$C$7:$C$83,$I20,'прогноз на 20.05.12'!AH$7:AH$83)+SUMIF('прогноз на 20.05.12'!$C$7:$C$83,$K20,'прогноз на 20.05.12'!AH$7:AH$83)</f>
        <v>117.75</v>
      </c>
      <c r="AQ20" s="41">
        <f>SUMIF('прогноз на 20.05.12'!$C$7:$C$83,$C20,'прогноз на 20.05.12'!AM$7:AM$83)+SUMIF('прогноз на 20.05.12'!$C$7:$C$83,$E20,'прогноз на 20.05.12'!AM$7:AM$83)+SUMIF('прогноз на 20.05.12'!$C$7:$C$83,$G20,'прогноз на 20.05.12'!AM$7:AM$83)+SUMIF('прогноз на 20.05.12'!$C$7:$C$83,$I20,'прогноз на 20.05.12'!AM$7:AM$83)+SUMIF('прогноз на 20.05.12'!$C$7:$C$83,$K20,'прогноз на 20.05.12'!AM$7:AM$83)</f>
        <v>59871</v>
      </c>
      <c r="AR20" s="41">
        <f>SUMIF('прогноз на 20.05.12'!$C$7:$C$83,$C20,'прогноз на 20.05.12'!AN$7:AN$83)+SUMIF('прогноз на 20.05.12'!$C$7:$C$83,$E20,'прогноз на 20.05.12'!AN$7:AN$83)+SUMIF('прогноз на 20.05.12'!$C$7:$C$83,$G20,'прогноз на 20.05.12'!AN$7:AN$83)+SUMIF('прогноз на 20.05.12'!$C$7:$C$83,$I20,'прогноз на 20.05.12'!AN$7:AN$83)+SUMIF('прогноз на 20.05.12'!$C$7:$C$83,$K20,'прогноз на 20.05.12'!AN$7:AN$83)</f>
        <v>611622</v>
      </c>
      <c r="AS20" s="41">
        <f>SUMIF('прогноз на 20.05.12'!$C$7:$C$83,$C20,'прогноз на 20.05.12'!AO$7:AO$83)+SUMIF('прогноз на 20.05.12'!$C$7:$C$83,$E20,'прогноз на 20.05.12'!AO$7:AO$83)+SUMIF('прогноз на 20.05.12'!$C$7:$C$83,$G20,'прогноз на 20.05.12'!AO$7:AO$83)+SUMIF('прогноз на 20.05.12'!$C$7:$C$83,$I20,'прогноз на 20.05.12'!AO$7:AO$83)+SUMIF('прогноз на 20.05.12'!$C$7:$C$83,$K20,'прогноз на 20.05.12'!AO$7:AO$83)</f>
        <v>136076.25</v>
      </c>
      <c r="AT20" s="41">
        <f>SUMIF('прогноз на 20.05.12'!$C$7:$C$83,$C20,'прогноз на 20.05.12'!AP$7:AP$83)+SUMIF('прогноз на 20.05.12'!$C$7:$C$83,$E20,'прогноз на 20.05.12'!AP$7:AP$83)+SUMIF('прогноз на 20.05.12'!$C$7:$C$83,$G20,'прогноз на 20.05.12'!AP$7:AP$83)+SUMIF('прогноз на 20.05.12'!$C$7:$C$83,$I20,'прогноз на 20.05.12'!AP$7:AP$83)+SUMIF('прогноз на 20.05.12'!$C$7:$C$83,$K20,'прогноз на 20.05.12'!AP$7:AP$83)</f>
        <v>807569.25</v>
      </c>
      <c r="AU20" s="41">
        <f>SUMIF('прогноз на 20.05.12'!$C$7:$C$83,$C20,'прогноз на 20.05.12'!AU$7:AU$83)+SUMIF('прогноз на 20.05.12'!$C$7:$C$83,$E20,'прогноз на 20.05.12'!AU$7:AU$83)+SUMIF('прогноз на 20.05.12'!$C$7:$C$83,$G20,'прогноз на 20.05.12'!AU$7:AU$83)+SUMIF('прогноз на 20.05.12'!$C$7:$C$83,$I20,'прогноз на 20.05.12'!AU$7:AU$83)+SUMIF('прогноз на 20.05.12'!$C$7:$C$83,$K20,'прогноз на 20.05.12'!AU$7:AU$83)</f>
        <v>3795</v>
      </c>
      <c r="AV20" s="41">
        <f>SUMIF('прогноз на 20.05.12'!$C$7:$C$83,$C20,'прогноз на 20.05.12'!AV$7:AV$83)+SUMIF('прогноз на 20.05.12'!$C$7:$C$83,$E20,'прогноз на 20.05.12'!AV$7:AV$83)+SUMIF('прогноз на 20.05.12'!$C$7:$C$83,$G20,'прогноз на 20.05.12'!AV$7:AV$83)+SUMIF('прогноз на 20.05.12'!$C$7:$C$83,$I20,'прогноз на 20.05.12'!AV$7:AV$83)+SUMIF('прогноз на 20.05.12'!$C$7:$C$83,$K20,'прогноз на 20.05.12'!AV$7:AV$83)</f>
        <v>25938</v>
      </c>
      <c r="AW20" s="41">
        <f>SUMIF('прогноз на 20.05.12'!$C$7:$C$83,$C20,'прогноз на 20.05.12'!AW$7:AW$83)+SUMIF('прогноз на 20.05.12'!$C$7:$C$83,$E20,'прогноз на 20.05.12'!AW$7:AW$83)+SUMIF('прогноз на 20.05.12'!$C$7:$C$83,$G20,'прогноз на 20.05.12'!AW$7:AW$83)+SUMIF('прогноз на 20.05.12'!$C$7:$C$83,$I20,'прогноз на 20.05.12'!AW$7:AW$83)+SUMIF('прогноз на 20.05.12'!$C$7:$C$83,$K20,'прогноз на 20.05.12'!AW$7:AW$83)</f>
        <v>6851.25</v>
      </c>
      <c r="AX20" s="41">
        <f>SUMIF('прогноз на 20.05.12'!$C$7:$C$83,$C20,'прогноз на 20.05.12'!AX$7:AX$83)+SUMIF('прогноз на 20.05.12'!$C$7:$C$83,$E20,'прогноз на 20.05.12'!AX$7:AX$83)+SUMIF('прогноз на 20.05.12'!$C$7:$C$83,$G20,'прогноз на 20.05.12'!AX$7:AX$83)+SUMIF('прогноз на 20.05.12'!$C$7:$C$83,$I20,'прогноз на 20.05.12'!AX$7:AX$83)+SUMIF('прогноз на 20.05.12'!$C$7:$C$83,$K20,'прогноз на 20.05.12'!AX$7:AX$83)</f>
        <v>36584.25</v>
      </c>
      <c r="AY20" s="41">
        <f>SUMIF('прогноз на 20.05.12'!$C$7:$C$83,$C20,'прогноз на 20.05.12'!AY$7:AY$83)+SUMIF('прогноз на 20.05.12'!$C$7:$C$83,$E20,'прогноз на 20.05.12'!AY$7:AY$83)+SUMIF('прогноз на 20.05.12'!$C$7:$C$83,$G20,'прогноз на 20.05.12'!AY$7:AY$83)+SUMIF('прогноз на 20.05.12'!$C$7:$C$83,$I20,'прогноз на 20.05.12'!AY$7:AY$83)+SUMIF('прогноз на 20.05.12'!$C$7:$C$83,$K20,'прогноз на 20.05.12'!AY$7:AY$83)</f>
        <v>63666</v>
      </c>
      <c r="AZ20" s="41">
        <f>SUMIF('прогноз на 20.05.12'!$C$7:$C$83,$C20,'прогноз на 20.05.12'!AZ$7:AZ$83)+SUMIF('прогноз на 20.05.12'!$C$7:$C$83,$E20,'прогноз на 20.05.12'!AZ$7:AZ$83)+SUMIF('прогноз на 20.05.12'!$C$7:$C$83,$G20,'прогноз на 20.05.12'!AZ$7:AZ$83)+SUMIF('прогноз на 20.05.12'!$C$7:$C$83,$I20,'прогноз на 20.05.12'!AZ$7:AZ$83)+SUMIF('прогноз на 20.05.12'!$C$7:$C$83,$K20,'прогноз на 20.05.12'!AZ$7:AZ$83)</f>
        <v>637560</v>
      </c>
      <c r="BA20" s="41">
        <f>SUMIF('прогноз на 20.05.12'!$C$7:$C$83,$C20,'прогноз на 20.05.12'!BA$7:BA$83)+SUMIF('прогноз на 20.05.12'!$C$7:$C$83,$E20,'прогноз на 20.05.12'!BA$7:BA$83)+SUMIF('прогноз на 20.05.12'!$C$7:$C$83,$G20,'прогноз на 20.05.12'!BA$7:BA$83)+SUMIF('прогноз на 20.05.12'!$C$7:$C$83,$I20,'прогноз на 20.05.12'!BA$7:BA$83)+SUMIF('прогноз на 20.05.12'!$C$7:$C$83,$K20,'прогноз на 20.05.12'!BA$7:BA$83)</f>
        <v>142927.5</v>
      </c>
      <c r="BB20" s="41">
        <f>SUMIF('прогноз на 20.05.12'!$C$7:$C$83,$C20,'прогноз на 20.05.12'!BB$7:BB$83)+SUMIF('прогноз на 20.05.12'!$C$7:$C$83,$E20,'прогноз на 20.05.12'!BB$7:BB$83)+SUMIF('прогноз на 20.05.12'!$C$7:$C$83,$G20,'прогноз на 20.05.12'!BB$7:BB$83)+SUMIF('прогноз на 20.05.12'!$C$7:$C$83,$I20,'прогноз на 20.05.12'!BB$7:BB$83)+SUMIF('прогноз на 20.05.12'!$C$7:$C$83,$K20,'прогноз на 20.05.12'!BB$7:BB$83)</f>
        <v>844153.5</v>
      </c>
      <c r="BC20" s="41">
        <f>SUMIF('прогноз на 20.05.12'!$C$7:$C$83,$C20,'прогноз на 20.05.12'!BC$7:BC$83)+SUMIF('прогноз на 20.05.12'!$C$7:$C$83,$E20,'прогноз на 20.05.12'!BC$7:BC$83)+SUMIF('прогноз на 20.05.12'!$C$7:$C$83,$G20,'прогноз на 20.05.12'!BC$7:BC$83)+SUMIF('прогноз на 20.05.12'!$C$7:$C$83,$I20,'прогноз на 20.05.12'!BC$7:BC$83)+SUMIF('прогноз на 20.05.12'!$C$7:$C$83,$K20,'прогноз на 20.05.12'!BC$7:BC$83)</f>
        <v>1189928</v>
      </c>
      <c r="BD20" s="41">
        <f>SUMIF('прогноз на 20.05.12'!$C$7:$C$83,$C20,'прогноз на 20.05.12'!BD$7:BD$83)+SUMIF('прогноз на 20.05.12'!$C$7:$C$83,$E20,'прогноз на 20.05.12'!BD$7:BD$83)+SUMIF('прогноз на 20.05.12'!$C$7:$C$83,$G20,'прогноз на 20.05.12'!BD$7:BD$83)+SUMIF('прогноз на 20.05.12'!$C$7:$C$83,$I20,'прогноз на 20.05.12'!BD$7:BD$83)+SUMIF('прогноз на 20.05.12'!$C$7:$C$83,$K20,'прогноз на 20.05.12'!BD$7:BD$83)</f>
        <v>1189928</v>
      </c>
      <c r="BE20" s="41">
        <f>SUMIF('прогноз на 20.05.12'!$C$7:$C$83,$C20,'прогноз на 20.05.12'!BE$7:BE$83)+SUMIF('прогноз на 20.05.12'!$C$7:$C$83,$E20,'прогноз на 20.05.12'!BE$7:BE$83)+SUMIF('прогноз на 20.05.12'!$C$7:$C$83,$G20,'прогноз на 20.05.12'!BE$7:BE$83)+SUMIF('прогноз на 20.05.12'!$C$7:$C$83,$I20,'прогноз на 20.05.12'!BE$7:BE$83)+SUMIF('прогноз на 20.05.12'!$C$7:$C$83,$K20,'прогноз на 20.05.12'!BE$7:BE$83)</f>
        <v>0</v>
      </c>
      <c r="BF20" s="41">
        <f>SUMIF('прогноз на 20.05.12'!$C$7:$C$83,$C20,'прогноз на 20.05.12'!BF$7:BF$83)+SUMIF('прогноз на 20.05.12'!$C$7:$C$83,$E20,'прогноз на 20.05.12'!BF$7:BF$83)+SUMIF('прогноз на 20.05.12'!$C$7:$C$83,$G20,'прогноз на 20.05.12'!BF$7:BF$83)+SUMIF('прогноз на 20.05.12'!$C$7:$C$83,$I20,'прогноз на 20.05.12'!BF$7:BF$83)+SUMIF('прогноз на 20.05.12'!$C$7:$C$83,$K20,'прогноз на 20.05.12'!BF$7:BF$83)</f>
        <v>345774.5</v>
      </c>
      <c r="BG20" s="41">
        <f>SUMIF('прогноз на 20.05.12'!$C$7:$C$83,$C20,'прогноз на 20.05.12'!BG$7:BG$83)+SUMIF('прогноз на 20.05.12'!$C$7:$C$83,$E20,'прогноз на 20.05.12'!BG$7:BG$83)+SUMIF('прогноз на 20.05.12'!$C$7:$C$83,$G20,'прогноз на 20.05.12'!BG$7:BG$83)+SUMIF('прогноз на 20.05.12'!$C$7:$C$83,$I20,'прогноз на 20.05.12'!BG$7:BG$83)+SUMIF('прогноз на 20.05.12'!$C$7:$C$83,$K20,'прогноз на 20.05.12'!BG$7:BG$83)</f>
        <v>345774.5</v>
      </c>
      <c r="BH20" s="41">
        <f>SUMIF('прогноз на 20.05.12'!$C$7:$C$83,$C20,'прогноз на 20.05.12'!BH$7:BH$83)+SUMIF('прогноз на 20.05.12'!$C$7:$C$83,$E20,'прогноз на 20.05.12'!BH$7:BH$83)+SUMIF('прогноз на 20.05.12'!$C$7:$C$83,$G20,'прогноз на 20.05.12'!BH$7:BH$83)+SUMIF('прогноз на 20.05.12'!$C$7:$C$83,$I20,'прогноз на 20.05.12'!BH$7:BH$83)+SUMIF('прогноз на 20.05.12'!$C$7:$C$83,$K20,'прогноз на 20.05.12'!BH$7:BH$83)</f>
        <v>0</v>
      </c>
      <c r="BI20" s="90">
        <f t="shared" si="10"/>
        <v>12</v>
      </c>
      <c r="BJ20" s="90">
        <f t="shared" si="11"/>
        <v>9.1999999999999993</v>
      </c>
      <c r="BK20" s="90">
        <f t="shared" si="12"/>
        <v>11.5</v>
      </c>
      <c r="BL20" s="90">
        <f t="shared" si="13"/>
        <v>10.333333333333334</v>
      </c>
    </row>
    <row r="21" spans="1:64" s="59" customFormat="1" ht="18.75">
      <c r="A21" s="38">
        <v>15</v>
      </c>
      <c r="B21" s="39" t="s">
        <v>58</v>
      </c>
      <c r="C21" s="40" t="s">
        <v>215</v>
      </c>
      <c r="D21" s="58"/>
      <c r="E21" s="58"/>
      <c r="F21" s="58"/>
      <c r="G21" s="58"/>
      <c r="H21" s="58"/>
      <c r="I21" s="58"/>
      <c r="J21" s="58"/>
      <c r="K21" s="58"/>
      <c r="L21" s="41">
        <f>SUMIF('прогноз на 20.05.12'!$C$7:$C$83,$C21,'прогноз на 20.05.12'!D$7:D$83)+SUMIF('прогноз на 20.05.12'!$C$7:$C$83,$E21,'прогноз на 20.05.12'!D$7:D$83)+SUMIF('прогноз на 20.05.12'!$C$7:$C$83,$G21,'прогноз на 20.05.12'!D$7:D$83)+SUMIF('прогноз на 20.05.12'!$C$7:$C$83,$I21,'прогноз на 20.05.12'!D$7:D$83)+SUMIF('прогноз на 20.05.12'!$C$7:$C$83,$K21,'прогноз на 20.05.12'!D$7:D$83)</f>
        <v>26</v>
      </c>
      <c r="M21" s="41">
        <f>SUMIF('прогноз на 20.05.12'!$C$7:$C$83,$C21,'прогноз на 20.05.12'!E$7:E$83)+SUMIF('прогноз на 20.05.12'!$C$7:$C$83,$E21,'прогноз на 20.05.12'!E$7:E$83)+SUMIF('прогноз на 20.05.12'!$C$7:$C$83,$G21,'прогноз на 20.05.12'!E$7:E$83)+SUMIF('прогноз на 20.05.12'!$C$7:$C$83,$I21,'прогноз на 20.05.12'!E$7:E$83)+SUMIF('прогноз на 20.05.12'!$C$7:$C$83,$K21,'прогноз на 20.05.12'!E$7:E$83)</f>
        <v>63</v>
      </c>
      <c r="N21" s="41">
        <f>SUMIF('прогноз на 20.05.12'!$C$7:$C$83,$C21,'прогноз на 20.05.12'!F$7:F$83)+SUMIF('прогноз на 20.05.12'!$C$7:$C$83,$E21,'прогноз на 20.05.12'!F$7:F$83)+SUMIF('прогноз на 20.05.12'!$C$7:$C$83,$G21,'прогноз на 20.05.12'!F$7:F$83)+SUMIF('прогноз на 20.05.12'!$C$7:$C$83,$I21,'прогноз на 20.05.12'!F$7:F$83)+SUMIF('прогноз на 20.05.12'!$C$7:$C$83,$K21,'прогноз на 20.05.12'!F$7:F$83)</f>
        <v>24</v>
      </c>
      <c r="O21" s="44">
        <f t="shared" si="6"/>
        <v>113</v>
      </c>
      <c r="P21" s="41">
        <f>SUMIF('прогноз на 20.05.12'!$C$7:$C$83,$C21,'прогноз на 20.05.12'!H$7:H$83)+SUMIF('прогноз на 20.05.12'!$C$7:$C$83,$E21,'прогноз на 20.05.12'!H$7:H$83)+SUMIF('прогноз на 20.05.12'!$C$7:$C$83,$G21,'прогноз на 20.05.12'!H$7:H$83)+SUMIF('прогноз на 20.05.12'!$C$7:$C$83,$I21,'прогноз на 20.05.12'!H$7:H$83)+SUMIF('прогноз на 20.05.12'!$C$7:$C$83,$K21,'прогноз на 20.05.12'!H$7:H$83)</f>
        <v>3</v>
      </c>
      <c r="Q21" s="41">
        <f>SUMIF('прогноз на 20.05.12'!$C$7:$C$83,$C21,'прогноз на 20.05.12'!I$7:I$83)+SUMIF('прогноз на 20.05.12'!$C$7:$C$83,$E21,'прогноз на 20.05.12'!I$7:I$83)+SUMIF('прогноз на 20.05.12'!$C$7:$C$83,$G21,'прогноз на 20.05.12'!I$7:I$83)+SUMIF('прогноз на 20.05.12'!$C$7:$C$83,$I21,'прогноз на 20.05.12'!I$7:I$83)+SUMIF('прогноз на 20.05.12'!$C$7:$C$83,$K21,'прогноз на 20.05.12'!I$7:I$83)</f>
        <v>5</v>
      </c>
      <c r="R21" s="41">
        <f>SUMIF('прогноз на 20.05.12'!$C$7:$C$83,$C21,'прогноз на 20.05.12'!J$7:J$83)+SUMIF('прогноз на 20.05.12'!$C$7:$C$83,$E21,'прогноз на 20.05.12'!J$7:J$83)+SUMIF('прогноз на 20.05.12'!$C$7:$C$83,$G21,'прогноз на 20.05.12'!J$7:J$83)+SUMIF('прогноз на 20.05.12'!$C$7:$C$83,$I21,'прогноз на 20.05.12'!J$7:J$83)+SUMIF('прогноз на 20.05.12'!$C$7:$C$83,$K21,'прогноз на 20.05.12'!J$7:J$83)</f>
        <v>2</v>
      </c>
      <c r="S21" s="45">
        <f t="shared" si="7"/>
        <v>10</v>
      </c>
      <c r="T21" s="41">
        <f>SUMIF('прогноз на 20.05.12'!$C$7:$C$83,$C21,'прогноз на 20.05.12'!L$7:L$83)+SUMIF('прогноз на 20.05.12'!$C$7:$C$83,$E21,'прогноз на 20.05.12'!L$7:L$83)+SUMIF('прогноз на 20.05.12'!$C$7:$C$83,$G21,'прогноз на 20.05.12'!L$7:L$83)+SUMIF('прогноз на 20.05.12'!$C$7:$C$83,$I21,'прогноз на 20.05.12'!L$7:L$83)+SUMIF('прогноз на 20.05.12'!$C$7:$C$83,$K21,'прогноз на 20.05.12'!L$7:L$83)</f>
        <v>0</v>
      </c>
      <c r="U21" s="41">
        <f>SUMIF('прогноз на 20.05.12'!$C$7:$C$83,$C21,'прогноз на 20.05.12'!M$7:M$83)+SUMIF('прогноз на 20.05.12'!$C$7:$C$83,$E21,'прогноз на 20.05.12'!M$7:M$83)+SUMIF('прогноз на 20.05.12'!$C$7:$C$83,$G21,'прогноз на 20.05.12'!M$7:M$83)+SUMIF('прогноз на 20.05.12'!$C$7:$C$83,$I21,'прогноз на 20.05.12'!M$7:M$83)+SUMIF('прогноз на 20.05.12'!$C$7:$C$83,$K21,'прогноз на 20.05.12'!M$7:M$83)</f>
        <v>0</v>
      </c>
      <c r="V21" s="41">
        <f>SUMIF('прогноз на 20.05.12'!$C$7:$C$83,$C21,'прогноз на 20.05.12'!N$7:N$83)+SUMIF('прогноз на 20.05.12'!$C$7:$C$83,$E21,'прогноз на 20.05.12'!N$7:N$83)+SUMIF('прогноз на 20.05.12'!$C$7:$C$83,$G21,'прогноз на 20.05.12'!N$7:N$83)+SUMIF('прогноз на 20.05.12'!$C$7:$C$83,$I21,'прогноз на 20.05.12'!N$7:N$83)+SUMIF('прогноз на 20.05.12'!$C$7:$C$83,$K21,'прогноз на 20.05.12'!N$7:N$83)</f>
        <v>0</v>
      </c>
      <c r="W21" s="45">
        <f t="shared" si="8"/>
        <v>0</v>
      </c>
      <c r="X21" s="41">
        <f>SUMIF('прогноз на 20.05.12'!$C$7:$C$83,$C21,'прогноз на 20.05.12'!P$7:P$83)+SUMIF('прогноз на 20.05.12'!$C$7:$C$83,$E21,'прогноз на 20.05.12'!P$7:P$83)+SUMIF('прогноз на 20.05.12'!$C$7:$C$83,$G21,'прогноз на 20.05.12'!P$7:P$83)+SUMIF('прогноз на 20.05.12'!$C$7:$C$83,$I21,'прогноз на 20.05.12'!P$7:P$83)+SUMIF('прогноз на 20.05.12'!$C$7:$C$83,$K21,'прогноз на 20.05.12'!P$7:P$83)</f>
        <v>0</v>
      </c>
      <c r="Y21" s="41">
        <f>SUMIF('прогноз на 20.05.12'!$C$7:$C$83,$C21,'прогноз на 20.05.12'!Q$7:Q$83)+SUMIF('прогноз на 20.05.12'!$C$7:$C$83,$E21,'прогноз на 20.05.12'!Q$7:Q$83)+SUMIF('прогноз на 20.05.12'!$C$7:$C$83,$G21,'прогноз на 20.05.12'!Q$7:Q$83)+SUMIF('прогноз на 20.05.12'!$C$7:$C$83,$I21,'прогноз на 20.05.12'!Q$7:Q$83)+SUMIF('прогноз на 20.05.12'!$C$7:$C$83,$K21,'прогноз на 20.05.12'!Q$7:Q$83)</f>
        <v>0</v>
      </c>
      <c r="Z21" s="41">
        <f>SUMIF('прогноз на 20.05.12'!$C$7:$C$83,$C21,'прогноз на 20.05.12'!R$7:R$83)+SUMIF('прогноз на 20.05.12'!$C$7:$C$83,$E21,'прогноз на 20.05.12'!R$7:R$83)+SUMIF('прогноз на 20.05.12'!$C$7:$C$83,$G21,'прогноз на 20.05.12'!R$7:R$83)+SUMIF('прогноз на 20.05.12'!$C$7:$C$83,$I21,'прогноз на 20.05.12'!R$7:R$83)+SUMIF('прогноз на 20.05.12'!$C$7:$C$83,$K21,'прогноз на 20.05.12'!R$7:R$83)</f>
        <v>0</v>
      </c>
      <c r="AA21" s="41">
        <f>SUMIF('прогноз на 20.05.12'!$C$7:$C$83,$C21,'прогноз на 20.05.12'!S$7:S$83)+SUMIF('прогноз на 20.05.12'!$C$7:$C$83,$E21,'прогноз на 20.05.12'!S$7:S$83)+SUMIF('прогноз на 20.05.12'!$C$7:$C$83,$G21,'прогноз на 20.05.12'!S$7:S$83)+SUMIF('прогноз на 20.05.12'!$C$7:$C$83,$I21,'прогноз на 20.05.12'!S$7:S$83)+SUMIF('прогноз на 20.05.12'!$C$7:$C$83,$K21,'прогноз на 20.05.12'!S$7:S$83)</f>
        <v>42</v>
      </c>
      <c r="AB21" s="41">
        <f>SUMIF('прогноз на 20.05.12'!$C$7:$C$83,$C21,'прогноз на 20.05.12'!T$7:T$83)+SUMIF('прогноз на 20.05.12'!$C$7:$C$83,$E21,'прогноз на 20.05.12'!T$7:T$83)+SUMIF('прогноз на 20.05.12'!$C$7:$C$83,$G21,'прогноз на 20.05.12'!T$7:T$83)+SUMIF('прогноз на 20.05.12'!$C$7:$C$83,$I21,'прогноз на 20.05.12'!T$7:T$83)+SUMIF('прогноз на 20.05.12'!$C$7:$C$83,$K21,'прогноз на 20.05.12'!T$7:T$83)</f>
        <v>70</v>
      </c>
      <c r="AC21" s="41">
        <f>SUMIF('прогноз на 20.05.12'!$C$7:$C$83,$C21,'прогноз на 20.05.12'!U$7:U$83)+SUMIF('прогноз на 20.05.12'!$C$7:$C$83,$E21,'прогноз на 20.05.12'!U$7:U$83)+SUMIF('прогноз на 20.05.12'!$C$7:$C$83,$G21,'прогноз на 20.05.12'!U$7:U$83)+SUMIF('прогноз на 20.05.12'!$C$7:$C$83,$I21,'прогноз на 20.05.12'!U$7:U$83)+SUMIF('прогноз на 20.05.12'!$C$7:$C$83,$K21,'прогноз на 20.05.12'!U$7:U$83)</f>
        <v>28</v>
      </c>
      <c r="AD21" s="41">
        <f>SUMIF('прогноз на 20.05.12'!$C$7:$C$83,$C21,'прогноз на 20.05.12'!V$7:V$83)+SUMIF('прогноз на 20.05.12'!$C$7:$C$83,$E21,'прогноз на 20.05.12'!V$7:V$83)+SUMIF('прогноз на 20.05.12'!$C$7:$C$83,$G21,'прогноз на 20.05.12'!V$7:V$83)+SUMIF('прогноз на 20.05.12'!$C$7:$C$83,$I21,'прогноз на 20.05.12'!V$7:V$83)+SUMIF('прогноз на 20.05.12'!$C$7:$C$83,$K21,'прогноз на 20.05.12'!V$7:V$83)</f>
        <v>140</v>
      </c>
      <c r="AE21" s="41">
        <f>SUMIF('прогноз на 20.05.12'!$C$7:$C$83,$C21,'прогноз на 20.05.12'!W$7:W$83)+SUMIF('прогноз на 20.05.12'!$C$7:$C$83,$E21,'прогноз на 20.05.12'!W$7:W$83)+SUMIF('прогноз на 20.05.12'!$C$7:$C$83,$G21,'прогноз на 20.05.12'!W$7:W$83)+SUMIF('прогноз на 20.05.12'!$C$7:$C$83,$I21,'прогноз на 20.05.12'!W$7:W$83)+SUMIF('прогноз на 20.05.12'!$C$7:$C$83,$K21,'прогноз на 20.05.12'!W$7:W$83)</f>
        <v>16</v>
      </c>
      <c r="AF21" s="41">
        <f>SUMIF('прогноз на 20.05.12'!$C$7:$C$83,$C21,'прогноз на 20.05.12'!X$7:X$83)+SUMIF('прогноз на 20.05.12'!$C$7:$C$83,$E21,'прогноз на 20.05.12'!X$7:X$83)+SUMIF('прогноз на 20.05.12'!$C$7:$C$83,$G21,'прогноз на 20.05.12'!X$7:X$83)+SUMIF('прогноз на 20.05.12'!$C$7:$C$83,$I21,'прогноз на 20.05.12'!X$7:X$83)+SUMIF('прогноз на 20.05.12'!$C$7:$C$83,$K21,'прогноз на 20.05.12'!X$7:X$83)</f>
        <v>7</v>
      </c>
      <c r="AG21" s="41">
        <f>SUMIF('прогноз на 20.05.12'!$C$7:$C$83,$C21,'прогноз на 20.05.12'!Y$7:Y$83)+SUMIF('прогноз на 20.05.12'!$C$7:$C$83,$E21,'прогноз на 20.05.12'!Y$7:Y$83)+SUMIF('прогноз на 20.05.12'!$C$7:$C$83,$G21,'прогноз на 20.05.12'!Y$7:Y$83)+SUMIF('прогноз на 20.05.12'!$C$7:$C$83,$I21,'прогноз на 20.05.12'!Y$7:Y$83)+SUMIF('прогноз на 20.05.12'!$C$7:$C$83,$K21,'прогноз на 20.05.12'!Y$7:Y$83)</f>
        <v>4</v>
      </c>
      <c r="AH21" s="41">
        <f>SUMIF('прогноз на 20.05.12'!$C$7:$C$83,$C21,'прогноз на 20.05.12'!Z$7:Z$83)+SUMIF('прогноз на 20.05.12'!$C$7:$C$83,$E21,'прогноз на 20.05.12'!Z$7:Z$83)+SUMIF('прогноз на 20.05.12'!$C$7:$C$83,$G21,'прогноз на 20.05.12'!Z$7:Z$83)+SUMIF('прогноз на 20.05.12'!$C$7:$C$83,$I21,'прогноз на 20.05.12'!Z$7:Z$83)+SUMIF('прогноз на 20.05.12'!$C$7:$C$83,$K21,'прогноз на 20.05.12'!Z$7:Z$83)</f>
        <v>27</v>
      </c>
      <c r="AI21" s="41">
        <f>SUMIF('прогноз на 20.05.12'!$C$7:$C$83,$C21,'прогноз на 20.05.12'!AA$7:AA$83)+SUMIF('прогноз на 20.05.12'!$C$7:$C$83,$E21,'прогноз на 20.05.12'!AA$7:AA$83)+SUMIF('прогноз на 20.05.12'!$C$7:$C$83,$G21,'прогноз на 20.05.12'!AA$7:AA$83)+SUMIF('прогноз на 20.05.12'!$C$7:$C$83,$I21,'прогноз на 20.05.12'!AA$7:AA$83)+SUMIF('прогноз на 20.05.12'!$C$7:$C$83,$K21,'прогноз на 20.05.12'!AA$7:AA$83)</f>
        <v>12</v>
      </c>
      <c r="AJ21" s="41">
        <f>SUMIF('прогноз на 20.05.12'!$C$7:$C$83,$C21,'прогноз на 20.05.12'!AB$7:AB$83)+SUMIF('прогноз на 20.05.12'!$C$7:$C$83,$E21,'прогноз на 20.05.12'!AB$7:AB$83)+SUMIF('прогноз на 20.05.12'!$C$7:$C$83,$G21,'прогноз на 20.05.12'!AB$7:AB$83)+SUMIF('прогноз на 20.05.12'!$C$7:$C$83,$I21,'прогноз на 20.05.12'!AB$7:AB$83)+SUMIF('прогноз на 20.05.12'!$C$7:$C$83,$K21,'прогноз на 20.05.12'!AB$7:AB$83)</f>
        <v>5.25</v>
      </c>
      <c r="AK21" s="41">
        <f>SUMIF('прогноз на 20.05.12'!$C$7:$C$83,$C21,'прогноз на 20.05.12'!AC$7:AC$83)+SUMIF('прогноз на 20.05.12'!$C$7:$C$83,$E21,'прогноз на 20.05.12'!AC$7:AC$83)+SUMIF('прогноз на 20.05.12'!$C$7:$C$83,$G21,'прогноз на 20.05.12'!AC$7:AC$83)+SUMIF('прогноз на 20.05.12'!$C$7:$C$83,$I21,'прогноз на 20.05.12'!AC$7:AC$83)+SUMIF('прогноз на 20.05.12'!$C$7:$C$83,$K21,'прогноз на 20.05.12'!AC$7:AC$83)</f>
        <v>3</v>
      </c>
      <c r="AL21" s="41">
        <f>SUMIF('прогноз на 20.05.12'!$C$7:$C$83,$C21,'прогноз на 20.05.12'!AD$7:AD$83)+SUMIF('прогноз на 20.05.12'!$C$7:$C$83,$E21,'прогноз на 20.05.12'!AD$7:AD$83)+SUMIF('прогноз на 20.05.12'!$C$7:$C$83,$G21,'прогноз на 20.05.12'!AD$7:AD$83)+SUMIF('прогноз на 20.05.12'!$C$7:$C$83,$I21,'прогноз на 20.05.12'!AD$7:AD$83)+SUMIF('прогноз на 20.05.12'!$C$7:$C$83,$K21,'прогноз на 20.05.12'!AD$7:AD$83)</f>
        <v>20.25</v>
      </c>
      <c r="AM21" s="41">
        <f>SUMIF('прогноз на 20.05.12'!$C$7:$C$83,$C21,'прогноз на 20.05.12'!AE$7:AE$83)+SUMIF('прогноз на 20.05.12'!$C$7:$C$83,$E21,'прогноз на 20.05.12'!AE$7:AE$83)+SUMIF('прогноз на 20.05.12'!$C$7:$C$83,$G21,'прогноз на 20.05.12'!AE$7:AE$83)+SUMIF('прогноз на 20.05.12'!$C$7:$C$83,$I21,'прогноз на 20.05.12'!AE$7:AE$83)+SUMIF('прогноз на 20.05.12'!$C$7:$C$83,$K21,'прогноз на 20.05.12'!AE$7:AE$83)</f>
        <v>38</v>
      </c>
      <c r="AN21" s="41">
        <f>SUMIF('прогноз на 20.05.12'!$C$7:$C$83,$C21,'прогноз на 20.05.12'!AF$7:AF$83)+SUMIF('прогноз на 20.05.12'!$C$7:$C$83,$E21,'прогноз на 20.05.12'!AF$7:AF$83)+SUMIF('прогноз на 20.05.12'!$C$7:$C$83,$G21,'прогноз на 20.05.12'!AF$7:AF$83)+SUMIF('прогноз на 20.05.12'!$C$7:$C$83,$I21,'прогноз на 20.05.12'!AF$7:AF$83)+SUMIF('прогноз на 20.05.12'!$C$7:$C$83,$K21,'прогноз на 20.05.12'!AF$7:AF$83)</f>
        <v>68.25</v>
      </c>
      <c r="AO21" s="41">
        <f>SUMIF('прогноз на 20.05.12'!$C$7:$C$83,$C21,'прогноз на 20.05.12'!AG$7:AG$83)+SUMIF('прогноз на 20.05.12'!$C$7:$C$83,$E21,'прогноз на 20.05.12'!AG$7:AG$83)+SUMIF('прогноз на 20.05.12'!$C$7:$C$83,$G21,'прогноз на 20.05.12'!AG$7:AG$83)+SUMIF('прогноз на 20.05.12'!$C$7:$C$83,$I21,'прогноз на 20.05.12'!AG$7:AG$83)+SUMIF('прогноз на 20.05.12'!$C$7:$C$83,$K21,'прогноз на 20.05.12'!AG$7:AG$83)</f>
        <v>27</v>
      </c>
      <c r="AP21" s="41">
        <f>SUMIF('прогноз на 20.05.12'!$C$7:$C$83,$C21,'прогноз на 20.05.12'!AH$7:AH$83)+SUMIF('прогноз на 20.05.12'!$C$7:$C$83,$E21,'прогноз на 20.05.12'!AH$7:AH$83)+SUMIF('прогноз на 20.05.12'!$C$7:$C$83,$G21,'прогноз на 20.05.12'!AH$7:AH$83)+SUMIF('прогноз на 20.05.12'!$C$7:$C$83,$I21,'прогноз на 20.05.12'!AH$7:AH$83)+SUMIF('прогноз на 20.05.12'!$C$7:$C$83,$K21,'прогноз на 20.05.12'!AH$7:AH$83)</f>
        <v>133.25</v>
      </c>
      <c r="AQ21" s="41">
        <f>SUMIF('прогноз на 20.05.12'!$C$7:$C$83,$C21,'прогноз на 20.05.12'!AM$7:AM$83)+SUMIF('прогноз на 20.05.12'!$C$7:$C$83,$E21,'прогноз на 20.05.12'!AM$7:AM$83)+SUMIF('прогноз на 20.05.12'!$C$7:$C$83,$G21,'прогноз на 20.05.12'!AM$7:AM$83)+SUMIF('прогноз на 20.05.12'!$C$7:$C$83,$I21,'прогноз на 20.05.12'!AM$7:AM$83)+SUMIF('прогноз на 20.05.12'!$C$7:$C$83,$K21,'прогноз на 20.05.12'!AM$7:AM$83)</f>
        <v>239484</v>
      </c>
      <c r="AR21" s="41">
        <f>SUMIF('прогноз на 20.05.12'!$C$7:$C$83,$C21,'прогноз на 20.05.12'!AN$7:AN$83)+SUMIF('прогноз на 20.05.12'!$C$7:$C$83,$E21,'прогноз на 20.05.12'!AN$7:AN$83)+SUMIF('прогноз на 20.05.12'!$C$7:$C$83,$G21,'прогноз на 20.05.12'!AN$7:AN$83)+SUMIF('прогноз на 20.05.12'!$C$7:$C$83,$I21,'прогноз на 20.05.12'!AN$7:AN$83)+SUMIF('прогноз на 20.05.12'!$C$7:$C$83,$K21,'прогноз на 20.05.12'!AN$7:AN$83)</f>
        <v>178389.75</v>
      </c>
      <c r="AS21" s="41">
        <f>SUMIF('прогноз на 20.05.12'!$C$7:$C$83,$C21,'прогноз на 20.05.12'!AO$7:AO$83)+SUMIF('прогноз на 20.05.12'!$C$7:$C$83,$E21,'прогноз на 20.05.12'!AO$7:AO$83)+SUMIF('прогноз на 20.05.12'!$C$7:$C$83,$G21,'прогноз на 20.05.12'!AO$7:AO$83)+SUMIF('прогноз на 20.05.12'!$C$7:$C$83,$I21,'прогноз на 20.05.12'!AO$7:AO$83)+SUMIF('прогноз на 20.05.12'!$C$7:$C$83,$K21,'прогноз на 20.05.12'!AO$7:AO$83)</f>
        <v>108861</v>
      </c>
      <c r="AT21" s="41">
        <f>SUMIF('прогноз на 20.05.12'!$C$7:$C$83,$C21,'прогноз на 20.05.12'!AP$7:AP$83)+SUMIF('прогноз на 20.05.12'!$C$7:$C$83,$E21,'прогноз на 20.05.12'!AP$7:AP$83)+SUMIF('прогноз на 20.05.12'!$C$7:$C$83,$G21,'прогноз на 20.05.12'!AP$7:AP$83)+SUMIF('прогноз на 20.05.12'!$C$7:$C$83,$I21,'прогноз на 20.05.12'!AP$7:AP$83)+SUMIF('прогноз на 20.05.12'!$C$7:$C$83,$K21,'прогноз на 20.05.12'!AP$7:AP$83)</f>
        <v>526734.75</v>
      </c>
      <c r="AU21" s="41">
        <f>SUMIF('прогноз на 20.05.12'!$C$7:$C$83,$C21,'прогноз на 20.05.12'!AU$7:AU$83)+SUMIF('прогноз на 20.05.12'!$C$7:$C$83,$E21,'прогноз на 20.05.12'!AU$7:AU$83)+SUMIF('прогноз на 20.05.12'!$C$7:$C$83,$G21,'прогноз на 20.05.12'!AU$7:AU$83)+SUMIF('прогноз на 20.05.12'!$C$7:$C$83,$I21,'прогноз на 20.05.12'!AU$7:AU$83)+SUMIF('прогноз на 20.05.12'!$C$7:$C$83,$K21,'прогноз на 20.05.12'!AU$7:AU$83)</f>
        <v>15180</v>
      </c>
      <c r="AV21" s="41">
        <f>SUMIF('прогноз на 20.05.12'!$C$7:$C$83,$C21,'прогноз на 20.05.12'!AV$7:AV$83)+SUMIF('прогноз на 20.05.12'!$C$7:$C$83,$E21,'прогноз на 20.05.12'!AV$7:AV$83)+SUMIF('прогноз на 20.05.12'!$C$7:$C$83,$G21,'прогноз на 20.05.12'!AV$7:AV$83)+SUMIF('прогноз на 20.05.12'!$C$7:$C$83,$I21,'прогноз на 20.05.12'!AV$7:AV$83)+SUMIF('прогноз на 20.05.12'!$C$7:$C$83,$K21,'прогноз на 20.05.12'!AV$7:AV$83)</f>
        <v>7565.25</v>
      </c>
      <c r="AW21" s="41">
        <f>SUMIF('прогноз на 20.05.12'!$C$7:$C$83,$C21,'прогноз на 20.05.12'!AW$7:AW$83)+SUMIF('прогноз на 20.05.12'!$C$7:$C$83,$E21,'прогноз на 20.05.12'!AW$7:AW$83)+SUMIF('прогноз на 20.05.12'!$C$7:$C$83,$G21,'прогноз на 20.05.12'!AW$7:AW$83)+SUMIF('прогноз на 20.05.12'!$C$7:$C$83,$I21,'прогноз на 20.05.12'!AW$7:AW$83)+SUMIF('прогноз на 20.05.12'!$C$7:$C$83,$K21,'прогноз на 20.05.12'!AW$7:AW$83)</f>
        <v>5481</v>
      </c>
      <c r="AX21" s="41">
        <f>SUMIF('прогноз на 20.05.12'!$C$7:$C$83,$C21,'прогноз на 20.05.12'!AX$7:AX$83)+SUMIF('прогноз на 20.05.12'!$C$7:$C$83,$E21,'прогноз на 20.05.12'!AX$7:AX$83)+SUMIF('прогноз на 20.05.12'!$C$7:$C$83,$G21,'прогноз на 20.05.12'!AX$7:AX$83)+SUMIF('прогноз на 20.05.12'!$C$7:$C$83,$I21,'прогноз на 20.05.12'!AX$7:AX$83)+SUMIF('прогноз на 20.05.12'!$C$7:$C$83,$K21,'прогноз на 20.05.12'!AX$7:AX$83)</f>
        <v>28226.25</v>
      </c>
      <c r="AY21" s="41">
        <f>SUMIF('прогноз на 20.05.12'!$C$7:$C$83,$C21,'прогноз на 20.05.12'!AY$7:AY$83)+SUMIF('прогноз на 20.05.12'!$C$7:$C$83,$E21,'прогноз на 20.05.12'!AY$7:AY$83)+SUMIF('прогноз на 20.05.12'!$C$7:$C$83,$G21,'прогноз на 20.05.12'!AY$7:AY$83)+SUMIF('прогноз на 20.05.12'!$C$7:$C$83,$I21,'прогноз на 20.05.12'!AY$7:AY$83)+SUMIF('прогноз на 20.05.12'!$C$7:$C$83,$K21,'прогноз на 20.05.12'!AY$7:AY$83)</f>
        <v>254664</v>
      </c>
      <c r="AZ21" s="41">
        <f>SUMIF('прогноз на 20.05.12'!$C$7:$C$83,$C21,'прогноз на 20.05.12'!AZ$7:AZ$83)+SUMIF('прогноз на 20.05.12'!$C$7:$C$83,$E21,'прогноз на 20.05.12'!AZ$7:AZ$83)+SUMIF('прогноз на 20.05.12'!$C$7:$C$83,$G21,'прогноз на 20.05.12'!AZ$7:AZ$83)+SUMIF('прогноз на 20.05.12'!$C$7:$C$83,$I21,'прогноз на 20.05.12'!AZ$7:AZ$83)+SUMIF('прогноз на 20.05.12'!$C$7:$C$83,$K21,'прогноз на 20.05.12'!AZ$7:AZ$83)</f>
        <v>185955</v>
      </c>
      <c r="BA21" s="41">
        <f>SUMIF('прогноз на 20.05.12'!$C$7:$C$83,$C21,'прогноз на 20.05.12'!BA$7:BA$83)+SUMIF('прогноз на 20.05.12'!$C$7:$C$83,$E21,'прогноз на 20.05.12'!BA$7:BA$83)+SUMIF('прогноз на 20.05.12'!$C$7:$C$83,$G21,'прогноз на 20.05.12'!BA$7:BA$83)+SUMIF('прогноз на 20.05.12'!$C$7:$C$83,$I21,'прогноз на 20.05.12'!BA$7:BA$83)+SUMIF('прогноз на 20.05.12'!$C$7:$C$83,$K21,'прогноз на 20.05.12'!BA$7:BA$83)</f>
        <v>114342</v>
      </c>
      <c r="BB21" s="41">
        <f>SUMIF('прогноз на 20.05.12'!$C$7:$C$83,$C21,'прогноз на 20.05.12'!BB$7:BB$83)+SUMIF('прогноз на 20.05.12'!$C$7:$C$83,$E21,'прогноз на 20.05.12'!BB$7:BB$83)+SUMIF('прогноз на 20.05.12'!$C$7:$C$83,$G21,'прогноз на 20.05.12'!BB$7:BB$83)+SUMIF('прогноз на 20.05.12'!$C$7:$C$83,$I21,'прогноз на 20.05.12'!BB$7:BB$83)+SUMIF('прогноз на 20.05.12'!$C$7:$C$83,$K21,'прогноз на 20.05.12'!BB$7:BB$83)</f>
        <v>554961</v>
      </c>
      <c r="BC21" s="41">
        <f>SUMIF('прогноз на 20.05.12'!$C$7:$C$83,$C21,'прогноз на 20.05.12'!BC$7:BC$83)+SUMIF('прогноз на 20.05.12'!$C$7:$C$83,$E21,'прогноз на 20.05.12'!BC$7:BC$83)+SUMIF('прогноз на 20.05.12'!$C$7:$C$83,$G21,'прогноз на 20.05.12'!BC$7:BC$83)+SUMIF('прогноз на 20.05.12'!$C$7:$C$83,$I21,'прогноз на 20.05.12'!BC$7:BC$83)+SUMIF('прогноз на 20.05.12'!$C$7:$C$83,$K21,'прогноз на 20.05.12'!BC$7:BC$83)</f>
        <v>1113192</v>
      </c>
      <c r="BD21" s="41">
        <f>SUMIF('прогноз на 20.05.12'!$C$7:$C$83,$C21,'прогноз на 20.05.12'!BD$7:BD$83)+SUMIF('прогноз на 20.05.12'!$C$7:$C$83,$E21,'прогноз на 20.05.12'!BD$7:BD$83)+SUMIF('прогноз на 20.05.12'!$C$7:$C$83,$G21,'прогноз на 20.05.12'!BD$7:BD$83)+SUMIF('прогноз на 20.05.12'!$C$7:$C$83,$I21,'прогноз на 20.05.12'!BD$7:BD$83)+SUMIF('прогноз на 20.05.12'!$C$7:$C$83,$K21,'прогноз на 20.05.12'!BD$7:BD$83)</f>
        <v>1113192</v>
      </c>
      <c r="BE21" s="41">
        <f>SUMIF('прогноз на 20.05.12'!$C$7:$C$83,$C21,'прогноз на 20.05.12'!BE$7:BE$83)+SUMIF('прогноз на 20.05.12'!$C$7:$C$83,$E21,'прогноз на 20.05.12'!BE$7:BE$83)+SUMIF('прогноз на 20.05.12'!$C$7:$C$83,$G21,'прогноз на 20.05.12'!BE$7:BE$83)+SUMIF('прогноз на 20.05.12'!$C$7:$C$83,$I21,'прогноз на 20.05.12'!BE$7:BE$83)+SUMIF('прогноз на 20.05.12'!$C$7:$C$83,$K21,'прогноз на 20.05.12'!BE$7:BE$83)</f>
        <v>0</v>
      </c>
      <c r="BF21" s="41">
        <f>SUMIF('прогноз на 20.05.12'!$C$7:$C$83,$C21,'прогноз на 20.05.12'!BF$7:BF$83)+SUMIF('прогноз на 20.05.12'!$C$7:$C$83,$E21,'прогноз на 20.05.12'!BF$7:BF$83)+SUMIF('прогноз на 20.05.12'!$C$7:$C$83,$G21,'прогноз на 20.05.12'!BF$7:BF$83)+SUMIF('прогноз на 20.05.12'!$C$7:$C$83,$I21,'прогноз на 20.05.12'!BF$7:BF$83)+SUMIF('прогноз на 20.05.12'!$C$7:$C$83,$K21,'прогноз на 20.05.12'!BF$7:BF$83)</f>
        <v>558231</v>
      </c>
      <c r="BG21" s="41">
        <f>SUMIF('прогноз на 20.05.12'!$C$7:$C$83,$C21,'прогноз на 20.05.12'!BG$7:BG$83)+SUMIF('прогноз на 20.05.12'!$C$7:$C$83,$E21,'прогноз на 20.05.12'!BG$7:BG$83)+SUMIF('прогноз на 20.05.12'!$C$7:$C$83,$G21,'прогноз на 20.05.12'!BG$7:BG$83)+SUMIF('прогноз на 20.05.12'!$C$7:$C$83,$I21,'прогноз на 20.05.12'!BG$7:BG$83)+SUMIF('прогноз на 20.05.12'!$C$7:$C$83,$K21,'прогноз на 20.05.12'!BG$7:BG$83)</f>
        <v>558231</v>
      </c>
      <c r="BH21" s="41">
        <f>SUMIF('прогноз на 20.05.12'!$C$7:$C$83,$C21,'прогноз на 20.05.12'!BH$7:BH$83)+SUMIF('прогноз на 20.05.12'!$C$7:$C$83,$E21,'прогноз на 20.05.12'!BH$7:BH$83)+SUMIF('прогноз на 20.05.12'!$C$7:$C$83,$G21,'прогноз на 20.05.12'!BH$7:BH$83)+SUMIF('прогноз на 20.05.12'!$C$7:$C$83,$I21,'прогноз на 20.05.12'!BH$7:BH$83)+SUMIF('прогноз на 20.05.12'!$C$7:$C$83,$K21,'прогноз на 20.05.12'!BH$7:BH$83)</f>
        <v>0</v>
      </c>
      <c r="BI21" s="90">
        <f t="shared" si="10"/>
        <v>8.6666666666666661</v>
      </c>
      <c r="BJ21" s="90">
        <f t="shared" si="11"/>
        <v>12.6</v>
      </c>
      <c r="BK21" s="90">
        <f t="shared" si="12"/>
        <v>12</v>
      </c>
      <c r="BL21" s="90">
        <f t="shared" si="13"/>
        <v>11.3</v>
      </c>
    </row>
    <row r="22" spans="1:64" s="59" customFormat="1" ht="18.75">
      <c r="A22" s="38">
        <v>16</v>
      </c>
      <c r="B22" s="39" t="s">
        <v>60</v>
      </c>
      <c r="C22" s="40" t="s">
        <v>216</v>
      </c>
      <c r="D22" s="56" t="s">
        <v>8</v>
      </c>
      <c r="E22" s="56" t="s">
        <v>185</v>
      </c>
      <c r="F22" s="56" t="s">
        <v>10</v>
      </c>
      <c r="G22" s="56" t="s">
        <v>190</v>
      </c>
      <c r="H22" s="56" t="s">
        <v>23</v>
      </c>
      <c r="I22" s="56" t="s">
        <v>205</v>
      </c>
      <c r="J22" s="58"/>
      <c r="K22" s="58"/>
      <c r="L22" s="41">
        <f>SUMIF('прогноз на 20.05.12'!$C$7:$C$83,$C22,'прогноз на 20.05.12'!D$7:D$83)+SUMIF('прогноз на 20.05.12'!$C$7:$C$83,$E22,'прогноз на 20.05.12'!D$7:D$83)+SUMIF('прогноз на 20.05.12'!$C$7:$C$83,$G22,'прогноз на 20.05.12'!D$7:D$83)+SUMIF('прогноз на 20.05.12'!$C$7:$C$83,$I22,'прогноз на 20.05.12'!D$7:D$83)+SUMIF('прогноз на 20.05.12'!$C$7:$C$83,$K22,'прогноз на 20.05.12'!D$7:D$83)</f>
        <v>32</v>
      </c>
      <c r="M22" s="41">
        <f>SUMIF('прогноз на 20.05.12'!$C$7:$C$83,$C22,'прогноз на 20.05.12'!E$7:E$83)+SUMIF('прогноз на 20.05.12'!$C$7:$C$83,$E22,'прогноз на 20.05.12'!E$7:E$83)+SUMIF('прогноз на 20.05.12'!$C$7:$C$83,$G22,'прогноз на 20.05.12'!E$7:E$83)+SUMIF('прогноз на 20.05.12'!$C$7:$C$83,$I22,'прогноз на 20.05.12'!E$7:E$83)+SUMIF('прогноз на 20.05.12'!$C$7:$C$83,$K22,'прогноз на 20.05.12'!E$7:E$83)</f>
        <v>42</v>
      </c>
      <c r="N22" s="41">
        <f>SUMIF('прогноз на 20.05.12'!$C$7:$C$83,$C22,'прогноз на 20.05.12'!F$7:F$83)+SUMIF('прогноз на 20.05.12'!$C$7:$C$83,$E22,'прогноз на 20.05.12'!F$7:F$83)+SUMIF('прогноз на 20.05.12'!$C$7:$C$83,$G22,'прогноз на 20.05.12'!F$7:F$83)+SUMIF('прогноз на 20.05.12'!$C$7:$C$83,$I22,'прогноз на 20.05.12'!F$7:F$83)+SUMIF('прогноз на 20.05.12'!$C$7:$C$83,$K22,'прогноз на 20.05.12'!F$7:F$83)</f>
        <v>21</v>
      </c>
      <c r="O22" s="44">
        <f t="shared" si="6"/>
        <v>95</v>
      </c>
      <c r="P22" s="41">
        <f>SUMIF('прогноз на 20.05.12'!$C$7:$C$83,$C22,'прогноз на 20.05.12'!H$7:H$83)+SUMIF('прогноз на 20.05.12'!$C$7:$C$83,$E22,'прогноз на 20.05.12'!H$7:H$83)+SUMIF('прогноз на 20.05.12'!$C$7:$C$83,$G22,'прогноз на 20.05.12'!H$7:H$83)+SUMIF('прогноз на 20.05.12'!$C$7:$C$83,$I22,'прогноз на 20.05.12'!H$7:H$83)+SUMIF('прогноз на 20.05.12'!$C$7:$C$83,$K22,'прогноз на 20.05.12'!H$7:H$83)</f>
        <v>7</v>
      </c>
      <c r="Q22" s="41">
        <f>SUMIF('прогноз на 20.05.12'!$C$7:$C$83,$C22,'прогноз на 20.05.12'!I$7:I$83)+SUMIF('прогноз на 20.05.12'!$C$7:$C$83,$E22,'прогноз на 20.05.12'!I$7:I$83)+SUMIF('прогноз на 20.05.12'!$C$7:$C$83,$G22,'прогноз на 20.05.12'!I$7:I$83)+SUMIF('прогноз на 20.05.12'!$C$7:$C$83,$I22,'прогноз на 20.05.12'!I$7:I$83)+SUMIF('прогноз на 20.05.12'!$C$7:$C$83,$K22,'прогноз на 20.05.12'!I$7:I$83)</f>
        <v>5</v>
      </c>
      <c r="R22" s="41">
        <f>SUMIF('прогноз на 20.05.12'!$C$7:$C$83,$C22,'прогноз на 20.05.12'!J$7:J$83)+SUMIF('прогноз на 20.05.12'!$C$7:$C$83,$E22,'прогноз на 20.05.12'!J$7:J$83)+SUMIF('прогноз на 20.05.12'!$C$7:$C$83,$G22,'прогноз на 20.05.12'!J$7:J$83)+SUMIF('прогноз на 20.05.12'!$C$7:$C$83,$I22,'прогноз на 20.05.12'!J$7:J$83)+SUMIF('прогноз на 20.05.12'!$C$7:$C$83,$K22,'прогноз на 20.05.12'!J$7:J$83)</f>
        <v>2</v>
      </c>
      <c r="S22" s="45">
        <f t="shared" si="7"/>
        <v>14</v>
      </c>
      <c r="T22" s="41">
        <f>SUMIF('прогноз на 20.05.12'!$C$7:$C$83,$C22,'прогноз на 20.05.12'!L$7:L$83)+SUMIF('прогноз на 20.05.12'!$C$7:$C$83,$E22,'прогноз на 20.05.12'!L$7:L$83)+SUMIF('прогноз на 20.05.12'!$C$7:$C$83,$G22,'прогноз на 20.05.12'!L$7:L$83)+SUMIF('прогноз на 20.05.12'!$C$7:$C$83,$I22,'прогноз на 20.05.12'!L$7:L$83)+SUMIF('прогноз на 20.05.12'!$C$7:$C$83,$K22,'прогноз на 20.05.12'!L$7:L$83)</f>
        <v>0</v>
      </c>
      <c r="U22" s="41">
        <f>SUMIF('прогноз на 20.05.12'!$C$7:$C$83,$C22,'прогноз на 20.05.12'!M$7:M$83)+SUMIF('прогноз на 20.05.12'!$C$7:$C$83,$E22,'прогноз на 20.05.12'!M$7:M$83)+SUMIF('прогноз на 20.05.12'!$C$7:$C$83,$G22,'прогноз на 20.05.12'!M$7:M$83)+SUMIF('прогноз на 20.05.12'!$C$7:$C$83,$I22,'прогноз на 20.05.12'!M$7:M$83)+SUMIF('прогноз на 20.05.12'!$C$7:$C$83,$K22,'прогноз на 20.05.12'!M$7:M$83)</f>
        <v>0</v>
      </c>
      <c r="V22" s="41">
        <f>SUMIF('прогноз на 20.05.12'!$C$7:$C$83,$C22,'прогноз на 20.05.12'!N$7:N$83)+SUMIF('прогноз на 20.05.12'!$C$7:$C$83,$E22,'прогноз на 20.05.12'!N$7:N$83)+SUMIF('прогноз на 20.05.12'!$C$7:$C$83,$G22,'прогноз на 20.05.12'!N$7:N$83)+SUMIF('прогноз на 20.05.12'!$C$7:$C$83,$I22,'прогноз на 20.05.12'!N$7:N$83)+SUMIF('прогноз на 20.05.12'!$C$7:$C$83,$K22,'прогноз на 20.05.12'!N$7:N$83)</f>
        <v>0</v>
      </c>
      <c r="W22" s="45">
        <f t="shared" si="8"/>
        <v>0</v>
      </c>
      <c r="X22" s="41">
        <f>SUMIF('прогноз на 20.05.12'!$C$7:$C$83,$C22,'прогноз на 20.05.12'!P$7:P$83)+SUMIF('прогноз на 20.05.12'!$C$7:$C$83,$E22,'прогноз на 20.05.12'!P$7:P$83)+SUMIF('прогноз на 20.05.12'!$C$7:$C$83,$G22,'прогноз на 20.05.12'!P$7:P$83)+SUMIF('прогноз на 20.05.12'!$C$7:$C$83,$I22,'прогноз на 20.05.12'!P$7:P$83)+SUMIF('прогноз на 20.05.12'!$C$7:$C$83,$K22,'прогноз на 20.05.12'!P$7:P$83)</f>
        <v>0</v>
      </c>
      <c r="Y22" s="41">
        <f>SUMIF('прогноз на 20.05.12'!$C$7:$C$83,$C22,'прогноз на 20.05.12'!Q$7:Q$83)+SUMIF('прогноз на 20.05.12'!$C$7:$C$83,$E22,'прогноз на 20.05.12'!Q$7:Q$83)+SUMIF('прогноз на 20.05.12'!$C$7:$C$83,$G22,'прогноз на 20.05.12'!Q$7:Q$83)+SUMIF('прогноз на 20.05.12'!$C$7:$C$83,$I22,'прогноз на 20.05.12'!Q$7:Q$83)+SUMIF('прогноз на 20.05.12'!$C$7:$C$83,$K22,'прогноз на 20.05.12'!Q$7:Q$83)</f>
        <v>0</v>
      </c>
      <c r="Z22" s="45"/>
      <c r="AA22" s="41">
        <f>SUMIF('прогноз на 20.05.12'!$C$7:$C$83,$C22,'прогноз на 20.05.12'!S$7:S$83)+SUMIF('прогноз на 20.05.12'!$C$7:$C$83,$E22,'прогноз на 20.05.12'!S$7:S$83)+SUMIF('прогноз на 20.05.12'!$C$7:$C$83,$G22,'прогноз на 20.05.12'!S$7:S$83)+SUMIF('прогноз на 20.05.12'!$C$7:$C$83,$I22,'прогноз на 20.05.12'!S$7:S$83)+SUMIF('прогноз на 20.05.12'!$C$7:$C$83,$K22,'прогноз на 20.05.12'!S$7:S$83)</f>
        <v>47</v>
      </c>
      <c r="AB22" s="41">
        <f>SUMIF('прогноз на 20.05.12'!$C$7:$C$83,$C22,'прогноз на 20.05.12'!T$7:T$83)+SUMIF('прогноз на 20.05.12'!$C$7:$C$83,$E22,'прогноз на 20.05.12'!T$7:T$83)+SUMIF('прогноз на 20.05.12'!$C$7:$C$83,$G22,'прогноз на 20.05.12'!T$7:T$83)+SUMIF('прогноз на 20.05.12'!$C$7:$C$83,$I22,'прогноз на 20.05.12'!T$7:T$83)+SUMIF('прогноз на 20.05.12'!$C$7:$C$83,$K22,'прогноз на 20.05.12'!T$7:T$83)</f>
        <v>70</v>
      </c>
      <c r="AC22" s="41">
        <f>SUMIF('прогноз на 20.05.12'!$C$7:$C$83,$C22,'прогноз на 20.05.12'!U$7:U$83)+SUMIF('прогноз на 20.05.12'!$C$7:$C$83,$E22,'прогноз на 20.05.12'!U$7:U$83)+SUMIF('прогноз на 20.05.12'!$C$7:$C$83,$G22,'прогноз на 20.05.12'!U$7:U$83)+SUMIF('прогноз на 20.05.12'!$C$7:$C$83,$I22,'прогноз на 20.05.12'!U$7:U$83)+SUMIF('прогноз на 20.05.12'!$C$7:$C$83,$K22,'прогноз на 20.05.12'!U$7:U$83)</f>
        <v>28</v>
      </c>
      <c r="AD22" s="41">
        <f>SUMIF('прогноз на 20.05.12'!$C$7:$C$83,$C22,'прогноз на 20.05.12'!V$7:V$83)+SUMIF('прогноз на 20.05.12'!$C$7:$C$83,$E22,'прогноз на 20.05.12'!V$7:V$83)+SUMIF('прогноз на 20.05.12'!$C$7:$C$83,$G22,'прогноз на 20.05.12'!V$7:V$83)+SUMIF('прогноз на 20.05.12'!$C$7:$C$83,$I22,'прогноз на 20.05.12'!V$7:V$83)+SUMIF('прогноз на 20.05.12'!$C$7:$C$83,$K22,'прогноз на 20.05.12'!V$7:V$83)</f>
        <v>145</v>
      </c>
      <c r="AE22" s="41">
        <f>SUMIF('прогноз на 20.05.12'!$C$7:$C$83,$C22,'прогноз на 20.05.12'!W$7:W$83)+SUMIF('прогноз на 20.05.12'!$C$7:$C$83,$E22,'прогноз на 20.05.12'!W$7:W$83)+SUMIF('прогноз на 20.05.12'!$C$7:$C$83,$G22,'прогноз на 20.05.12'!W$7:W$83)+SUMIF('прогноз на 20.05.12'!$C$7:$C$83,$I22,'прогноз на 20.05.12'!W$7:W$83)+SUMIF('прогноз на 20.05.12'!$C$7:$C$83,$K22,'прогноз на 20.05.12'!W$7:W$83)</f>
        <v>15</v>
      </c>
      <c r="AF22" s="41">
        <f>SUMIF('прогноз на 20.05.12'!$C$7:$C$83,$C22,'прогноз на 20.05.12'!X$7:X$83)+SUMIF('прогноз на 20.05.12'!$C$7:$C$83,$E22,'прогноз на 20.05.12'!X$7:X$83)+SUMIF('прогноз на 20.05.12'!$C$7:$C$83,$G22,'прогноз на 20.05.12'!X$7:X$83)+SUMIF('прогноз на 20.05.12'!$C$7:$C$83,$I22,'прогноз на 20.05.12'!X$7:X$83)+SUMIF('прогноз на 20.05.12'!$C$7:$C$83,$K22,'прогноз на 20.05.12'!X$7:X$83)</f>
        <v>28</v>
      </c>
      <c r="AG22" s="41">
        <f>SUMIF('прогноз на 20.05.12'!$C$7:$C$83,$C22,'прогноз на 20.05.12'!Y$7:Y$83)+SUMIF('прогноз на 20.05.12'!$C$7:$C$83,$E22,'прогноз на 20.05.12'!Y$7:Y$83)+SUMIF('прогноз на 20.05.12'!$C$7:$C$83,$G22,'прогноз на 20.05.12'!Y$7:Y$83)+SUMIF('прогноз на 20.05.12'!$C$7:$C$83,$I22,'прогноз на 20.05.12'!Y$7:Y$83)+SUMIF('прогноз на 20.05.12'!$C$7:$C$83,$K22,'прогноз на 20.05.12'!Y$7:Y$83)</f>
        <v>7</v>
      </c>
      <c r="AH22" s="41">
        <f>SUMIF('прогноз на 20.05.12'!$C$7:$C$83,$C22,'прогноз на 20.05.12'!Z$7:Z$83)+SUMIF('прогноз на 20.05.12'!$C$7:$C$83,$E22,'прогноз на 20.05.12'!Z$7:Z$83)+SUMIF('прогноз на 20.05.12'!$C$7:$C$83,$G22,'прогноз на 20.05.12'!Z$7:Z$83)+SUMIF('прогноз на 20.05.12'!$C$7:$C$83,$I22,'прогноз на 20.05.12'!Z$7:Z$83)+SUMIF('прогноз на 20.05.12'!$C$7:$C$83,$K22,'прогноз на 20.05.12'!Z$7:Z$83)</f>
        <v>50</v>
      </c>
      <c r="AI22" s="41">
        <f>SUMIF('прогноз на 20.05.12'!$C$7:$C$83,$C22,'прогноз на 20.05.12'!AA$7:AA$83)+SUMIF('прогноз на 20.05.12'!$C$7:$C$83,$E22,'прогноз на 20.05.12'!AA$7:AA$83)+SUMIF('прогноз на 20.05.12'!$C$7:$C$83,$G22,'прогноз на 20.05.12'!AA$7:AA$83)+SUMIF('прогноз на 20.05.12'!$C$7:$C$83,$I22,'прогноз на 20.05.12'!AA$7:AA$83)+SUMIF('прогноз на 20.05.12'!$C$7:$C$83,$K22,'прогноз на 20.05.12'!AA$7:AA$83)</f>
        <v>11.25</v>
      </c>
      <c r="AJ22" s="41">
        <f>SUMIF('прогноз на 20.05.12'!$C$7:$C$83,$C22,'прогноз на 20.05.12'!AB$7:AB$83)+SUMIF('прогноз на 20.05.12'!$C$7:$C$83,$E22,'прогноз на 20.05.12'!AB$7:AB$83)+SUMIF('прогноз на 20.05.12'!$C$7:$C$83,$G22,'прогноз на 20.05.12'!AB$7:AB$83)+SUMIF('прогноз на 20.05.12'!$C$7:$C$83,$I22,'прогноз на 20.05.12'!AB$7:AB$83)+SUMIF('прогноз на 20.05.12'!$C$7:$C$83,$K22,'прогноз на 20.05.12'!AB$7:AB$83)</f>
        <v>21</v>
      </c>
      <c r="AK22" s="41">
        <f>SUMIF('прогноз на 20.05.12'!$C$7:$C$83,$C22,'прогноз на 20.05.12'!AC$7:AC$83)+SUMIF('прогноз на 20.05.12'!$C$7:$C$83,$E22,'прогноз на 20.05.12'!AC$7:AC$83)+SUMIF('прогноз на 20.05.12'!$C$7:$C$83,$G22,'прогноз на 20.05.12'!AC$7:AC$83)+SUMIF('прогноз на 20.05.12'!$C$7:$C$83,$I22,'прогноз на 20.05.12'!AC$7:AC$83)+SUMIF('прогноз на 20.05.12'!$C$7:$C$83,$K22,'прогноз на 20.05.12'!AC$7:AC$83)</f>
        <v>5.25</v>
      </c>
      <c r="AL22" s="41">
        <f>SUMIF('прогноз на 20.05.12'!$C$7:$C$83,$C22,'прогноз на 20.05.12'!AD$7:AD$83)+SUMIF('прогноз на 20.05.12'!$C$7:$C$83,$E22,'прогноз на 20.05.12'!AD$7:AD$83)+SUMIF('прогноз на 20.05.12'!$C$7:$C$83,$G22,'прогноз на 20.05.12'!AD$7:AD$83)+SUMIF('прогноз на 20.05.12'!$C$7:$C$83,$I22,'прогноз на 20.05.12'!AD$7:AD$83)+SUMIF('прогноз на 20.05.12'!$C$7:$C$83,$K22,'прогноз на 20.05.12'!AD$7:AD$83)</f>
        <v>37.5</v>
      </c>
      <c r="AM22" s="41">
        <f>SUMIF('прогноз на 20.05.12'!$C$7:$C$83,$C22,'прогноз на 20.05.12'!AE$7:AE$83)+SUMIF('прогноз на 20.05.12'!$C$7:$C$83,$E22,'прогноз на 20.05.12'!AE$7:AE$83)+SUMIF('прогноз на 20.05.12'!$C$7:$C$83,$G22,'прогноз на 20.05.12'!AE$7:AE$83)+SUMIF('прогноз на 20.05.12'!$C$7:$C$83,$I22,'прогноз на 20.05.12'!AE$7:AE$83)+SUMIF('прогноз на 20.05.12'!$C$7:$C$83,$K22,'прогноз на 20.05.12'!AE$7:AE$83)</f>
        <v>43.25</v>
      </c>
      <c r="AN22" s="41">
        <f>SUMIF('прогноз на 20.05.12'!$C$7:$C$83,$C22,'прогноз на 20.05.12'!AF$7:AF$83)+SUMIF('прогноз на 20.05.12'!$C$7:$C$83,$E22,'прогноз на 20.05.12'!AF$7:AF$83)+SUMIF('прогноз на 20.05.12'!$C$7:$C$83,$G22,'прогноз на 20.05.12'!AF$7:AF$83)+SUMIF('прогноз на 20.05.12'!$C$7:$C$83,$I22,'прогноз на 20.05.12'!AF$7:AF$83)+SUMIF('прогноз на 20.05.12'!$C$7:$C$83,$K22,'прогноз на 20.05.12'!AF$7:AF$83)</f>
        <v>63</v>
      </c>
      <c r="AO22" s="41">
        <f>SUMIF('прогноз на 20.05.12'!$C$7:$C$83,$C22,'прогноз на 20.05.12'!AG$7:AG$83)+SUMIF('прогноз на 20.05.12'!$C$7:$C$83,$E22,'прогноз на 20.05.12'!AG$7:AG$83)+SUMIF('прогноз на 20.05.12'!$C$7:$C$83,$G22,'прогноз на 20.05.12'!AG$7:AG$83)+SUMIF('прогноз на 20.05.12'!$C$7:$C$83,$I22,'прогноз на 20.05.12'!AG$7:AG$83)+SUMIF('прогноз на 20.05.12'!$C$7:$C$83,$K22,'прогноз на 20.05.12'!AG$7:AG$83)</f>
        <v>26.25</v>
      </c>
      <c r="AP22" s="41">
        <f>SUMIF('прогноз на 20.05.12'!$C$7:$C$83,$C22,'прогноз на 20.05.12'!AH$7:AH$83)+SUMIF('прогноз на 20.05.12'!$C$7:$C$83,$E22,'прогноз на 20.05.12'!AH$7:AH$83)+SUMIF('прогноз на 20.05.12'!$C$7:$C$83,$G22,'прогноз на 20.05.12'!AH$7:AH$83)+SUMIF('прогноз на 20.05.12'!$C$7:$C$83,$I22,'прогноз на 20.05.12'!AH$7:AH$83)+SUMIF('прогноз на 20.05.12'!$C$7:$C$83,$K22,'прогноз на 20.05.12'!AH$7:AH$83)</f>
        <v>132.5</v>
      </c>
      <c r="AQ22" s="41">
        <f>SUMIF('прогноз на 20.05.12'!$C$7:$C$83,$C22,'прогноз на 20.05.12'!AM$7:AM$83)+SUMIF('прогноз на 20.05.12'!$C$7:$C$83,$E22,'прогноз на 20.05.12'!AM$7:AM$83)+SUMIF('прогноз на 20.05.12'!$C$7:$C$83,$G22,'прогноз на 20.05.12'!AM$7:AM$83)+SUMIF('прогноз на 20.05.12'!$C$7:$C$83,$I22,'прогноз на 20.05.12'!AM$7:AM$83)+SUMIF('прогноз на 20.05.12'!$C$7:$C$83,$K22,'прогноз на 20.05.12'!AM$7:AM$83)</f>
        <v>224516.25</v>
      </c>
      <c r="AR22" s="41">
        <f>SUMIF('прогноз на 20.05.12'!$C$7:$C$83,$C22,'прогноз на 20.05.12'!AN$7:AN$83)+SUMIF('прогноз на 20.05.12'!$C$7:$C$83,$E22,'прогноз на 20.05.12'!AN$7:AN$83)+SUMIF('прогноз на 20.05.12'!$C$7:$C$83,$G22,'прогноз на 20.05.12'!AN$7:AN$83)+SUMIF('прогноз на 20.05.12'!$C$7:$C$83,$I22,'прогноз на 20.05.12'!AN$7:AN$83)+SUMIF('прогноз на 20.05.12'!$C$7:$C$83,$K22,'прогноз на 20.05.12'!AN$7:AN$83)</f>
        <v>713559</v>
      </c>
      <c r="AS22" s="41">
        <f>SUMIF('прогноз на 20.05.12'!$C$7:$C$83,$C22,'прогноз на 20.05.12'!AO$7:AO$83)+SUMIF('прогноз на 20.05.12'!$C$7:$C$83,$E22,'прогноз на 20.05.12'!AO$7:AO$83)+SUMIF('прогноз на 20.05.12'!$C$7:$C$83,$G22,'прогноз на 20.05.12'!AO$7:AO$83)+SUMIF('прогноз на 20.05.12'!$C$7:$C$83,$I22,'прогноз на 20.05.12'!AO$7:AO$83)+SUMIF('прогноз на 20.05.12'!$C$7:$C$83,$K22,'прогноз на 20.05.12'!AO$7:AO$83)</f>
        <v>190506.75</v>
      </c>
      <c r="AT22" s="41">
        <f>SUMIF('прогноз на 20.05.12'!$C$7:$C$83,$C22,'прогноз на 20.05.12'!AP$7:AP$83)+SUMIF('прогноз на 20.05.12'!$C$7:$C$83,$E22,'прогноз на 20.05.12'!AP$7:AP$83)+SUMIF('прогноз на 20.05.12'!$C$7:$C$83,$G22,'прогноз на 20.05.12'!AP$7:AP$83)+SUMIF('прогноз на 20.05.12'!$C$7:$C$83,$I22,'прогноз на 20.05.12'!AP$7:AP$83)+SUMIF('прогноз на 20.05.12'!$C$7:$C$83,$K22,'прогноз на 20.05.12'!AP$7:AP$83)</f>
        <v>1128582</v>
      </c>
      <c r="AU22" s="41">
        <f>SUMIF('прогноз на 20.05.12'!$C$7:$C$83,$C22,'прогноз на 20.05.12'!AU$7:AU$83)+SUMIF('прогноз на 20.05.12'!$C$7:$C$83,$E22,'прогноз на 20.05.12'!AU$7:AU$83)+SUMIF('прогноз на 20.05.12'!$C$7:$C$83,$G22,'прогноз на 20.05.12'!AU$7:AU$83)+SUMIF('прогноз на 20.05.12'!$C$7:$C$83,$I22,'прогноз на 20.05.12'!AU$7:AU$83)+SUMIF('прогноз на 20.05.12'!$C$7:$C$83,$K22,'прогноз на 20.05.12'!AU$7:AU$83)</f>
        <v>14231.25</v>
      </c>
      <c r="AV22" s="41">
        <f>SUMIF('прогноз на 20.05.12'!$C$7:$C$83,$C22,'прогноз на 20.05.12'!AV$7:AV$83)+SUMIF('прогноз на 20.05.12'!$C$7:$C$83,$E22,'прогноз на 20.05.12'!AV$7:AV$83)+SUMIF('прогноз на 20.05.12'!$C$7:$C$83,$G22,'прогноз на 20.05.12'!AV$7:AV$83)+SUMIF('прогноз на 20.05.12'!$C$7:$C$83,$I22,'прогноз на 20.05.12'!AV$7:AV$83)+SUMIF('прогноз на 20.05.12'!$C$7:$C$83,$K22,'прогноз на 20.05.12'!AV$7:AV$83)</f>
        <v>30261</v>
      </c>
      <c r="AW22" s="41">
        <f>SUMIF('прогноз на 20.05.12'!$C$7:$C$83,$C22,'прогноз на 20.05.12'!AW$7:AW$83)+SUMIF('прогноз на 20.05.12'!$C$7:$C$83,$E22,'прогноз на 20.05.12'!AW$7:AW$83)+SUMIF('прогноз на 20.05.12'!$C$7:$C$83,$G22,'прогноз на 20.05.12'!AW$7:AW$83)+SUMIF('прогноз на 20.05.12'!$C$7:$C$83,$I22,'прогноз на 20.05.12'!AW$7:AW$83)+SUMIF('прогноз на 20.05.12'!$C$7:$C$83,$K22,'прогноз на 20.05.12'!AW$7:AW$83)</f>
        <v>9591.75</v>
      </c>
      <c r="AX22" s="41">
        <f>SUMIF('прогноз на 20.05.12'!$C$7:$C$83,$C22,'прогноз на 20.05.12'!AX$7:AX$83)+SUMIF('прогноз на 20.05.12'!$C$7:$C$83,$E22,'прогноз на 20.05.12'!AX$7:AX$83)+SUMIF('прогноз на 20.05.12'!$C$7:$C$83,$G22,'прогноз на 20.05.12'!AX$7:AX$83)+SUMIF('прогноз на 20.05.12'!$C$7:$C$83,$I22,'прогноз на 20.05.12'!AX$7:AX$83)+SUMIF('прогноз на 20.05.12'!$C$7:$C$83,$K22,'прогноз на 20.05.12'!AX$7:AX$83)</f>
        <v>54084</v>
      </c>
      <c r="AY22" s="41">
        <f>SUMIF('прогноз на 20.05.12'!$C$7:$C$83,$C22,'прогноз на 20.05.12'!AY$7:AY$83)+SUMIF('прогноз на 20.05.12'!$C$7:$C$83,$E22,'прогноз на 20.05.12'!AY$7:AY$83)+SUMIF('прогноз на 20.05.12'!$C$7:$C$83,$G22,'прогноз на 20.05.12'!AY$7:AY$83)+SUMIF('прогноз на 20.05.12'!$C$7:$C$83,$I22,'прогноз на 20.05.12'!AY$7:AY$83)+SUMIF('прогноз на 20.05.12'!$C$7:$C$83,$K22,'прогноз на 20.05.12'!AY$7:AY$83)</f>
        <v>238747.5</v>
      </c>
      <c r="AZ22" s="41">
        <f>SUMIF('прогноз на 20.05.12'!$C$7:$C$83,$C22,'прогноз на 20.05.12'!AZ$7:AZ$83)+SUMIF('прогноз на 20.05.12'!$C$7:$C$83,$E22,'прогноз на 20.05.12'!AZ$7:AZ$83)+SUMIF('прогноз на 20.05.12'!$C$7:$C$83,$G22,'прогноз на 20.05.12'!AZ$7:AZ$83)+SUMIF('прогноз на 20.05.12'!$C$7:$C$83,$I22,'прогноз на 20.05.12'!AZ$7:AZ$83)+SUMIF('прогноз на 20.05.12'!$C$7:$C$83,$K22,'прогноз на 20.05.12'!AZ$7:AZ$83)</f>
        <v>743820</v>
      </c>
      <c r="BA22" s="41">
        <f>SUMIF('прогноз на 20.05.12'!$C$7:$C$83,$C22,'прогноз на 20.05.12'!BA$7:BA$83)+SUMIF('прогноз на 20.05.12'!$C$7:$C$83,$E22,'прогноз на 20.05.12'!BA$7:BA$83)+SUMIF('прогноз на 20.05.12'!$C$7:$C$83,$G22,'прогноз на 20.05.12'!BA$7:BA$83)+SUMIF('прогноз на 20.05.12'!$C$7:$C$83,$I22,'прогноз на 20.05.12'!BA$7:BA$83)+SUMIF('прогноз на 20.05.12'!$C$7:$C$83,$K22,'прогноз на 20.05.12'!BA$7:BA$83)</f>
        <v>200098.5</v>
      </c>
      <c r="BB22" s="41">
        <f>SUMIF('прогноз на 20.05.12'!$C$7:$C$83,$C22,'прогноз на 20.05.12'!BB$7:BB$83)+SUMIF('прогноз на 20.05.12'!$C$7:$C$83,$E22,'прогноз на 20.05.12'!BB$7:BB$83)+SUMIF('прогноз на 20.05.12'!$C$7:$C$83,$G22,'прогноз на 20.05.12'!BB$7:BB$83)+SUMIF('прогноз на 20.05.12'!$C$7:$C$83,$I22,'прогноз на 20.05.12'!BB$7:BB$83)+SUMIF('прогноз на 20.05.12'!$C$7:$C$83,$K22,'прогноз на 20.05.12'!BB$7:BB$83)</f>
        <v>1182666</v>
      </c>
      <c r="BC22" s="41">
        <f>SUMIF('прогноз на 20.05.12'!$C$7:$C$83,$C22,'прогноз на 20.05.12'!BC$7:BC$83)+SUMIF('прогноз на 20.05.12'!$C$7:$C$83,$E22,'прогноз на 20.05.12'!BC$7:BC$83)+SUMIF('прогноз на 20.05.12'!$C$7:$C$83,$G22,'прогноз на 20.05.12'!BC$7:BC$83)+SUMIF('прогноз на 20.05.12'!$C$7:$C$83,$I22,'прогноз на 20.05.12'!BC$7:BC$83)+SUMIF('прогноз на 20.05.12'!$C$7:$C$83,$K22,'прогноз на 20.05.12'!BC$7:BC$83)</f>
        <v>1917304</v>
      </c>
      <c r="BD22" s="41">
        <f>SUMIF('прогноз на 20.05.12'!$C$7:$C$83,$C22,'прогноз на 20.05.12'!BD$7:BD$83)+SUMIF('прогноз на 20.05.12'!$C$7:$C$83,$E22,'прогноз на 20.05.12'!BD$7:BD$83)+SUMIF('прогноз на 20.05.12'!$C$7:$C$83,$G22,'прогноз на 20.05.12'!BD$7:BD$83)+SUMIF('прогноз на 20.05.12'!$C$7:$C$83,$I22,'прогноз на 20.05.12'!BD$7:BD$83)+SUMIF('прогноз на 20.05.12'!$C$7:$C$83,$K22,'прогноз на 20.05.12'!BD$7:BD$83)</f>
        <v>1917304</v>
      </c>
      <c r="BE22" s="41">
        <f>SUMIF('прогноз на 20.05.12'!$C$7:$C$83,$C22,'прогноз на 20.05.12'!BE$7:BE$83)+SUMIF('прогноз на 20.05.12'!$C$7:$C$83,$E22,'прогноз на 20.05.12'!BE$7:BE$83)+SUMIF('прогноз на 20.05.12'!$C$7:$C$83,$G22,'прогноз на 20.05.12'!BE$7:BE$83)+SUMIF('прогноз на 20.05.12'!$C$7:$C$83,$I22,'прогноз на 20.05.12'!BE$7:BE$83)+SUMIF('прогноз на 20.05.12'!$C$7:$C$83,$K22,'прогноз на 20.05.12'!BE$7:BE$83)</f>
        <v>0</v>
      </c>
      <c r="BF22" s="41">
        <f>SUMIF('прогноз на 20.05.12'!$C$7:$C$83,$C22,'прогноз на 20.05.12'!BF$7:BF$83)+SUMIF('прогноз на 20.05.12'!$C$7:$C$83,$E22,'прогноз на 20.05.12'!BF$7:BF$83)+SUMIF('прогноз на 20.05.12'!$C$7:$C$83,$G22,'прогноз на 20.05.12'!BF$7:BF$83)+SUMIF('прогноз на 20.05.12'!$C$7:$C$83,$I22,'прогноз на 20.05.12'!BF$7:BF$83)+SUMIF('прогноз на 20.05.12'!$C$7:$C$83,$K22,'прогноз на 20.05.12'!BF$7:BF$83)</f>
        <v>734638</v>
      </c>
      <c r="BG22" s="41">
        <f>SUMIF('прогноз на 20.05.12'!$C$7:$C$83,$C22,'прогноз на 20.05.12'!BG$7:BG$83)+SUMIF('прогноз на 20.05.12'!$C$7:$C$83,$E22,'прогноз на 20.05.12'!BG$7:BG$83)+SUMIF('прогноз на 20.05.12'!$C$7:$C$83,$G22,'прогноз на 20.05.12'!BG$7:BG$83)+SUMIF('прогноз на 20.05.12'!$C$7:$C$83,$I22,'прогноз на 20.05.12'!BG$7:BG$83)+SUMIF('прогноз на 20.05.12'!$C$7:$C$83,$K22,'прогноз на 20.05.12'!BG$7:BG$83)</f>
        <v>734638</v>
      </c>
      <c r="BH22" s="41">
        <f>SUMIF('прогноз на 20.05.12'!$C$7:$C$83,$C22,'прогноз на 20.05.12'!BH$7:BH$83)+SUMIF('прогноз на 20.05.12'!$C$7:$C$83,$E22,'прогноз на 20.05.12'!BH$7:BH$83)+SUMIF('прогноз на 20.05.12'!$C$7:$C$83,$G22,'прогноз на 20.05.12'!BH$7:BH$83)+SUMIF('прогноз на 20.05.12'!$C$7:$C$83,$I22,'прогноз на 20.05.12'!BH$7:BH$83)+SUMIF('прогноз на 20.05.12'!$C$7:$C$83,$K22,'прогноз на 20.05.12'!BH$7:BH$83)</f>
        <v>0</v>
      </c>
      <c r="BI22" s="90">
        <f t="shared" si="10"/>
        <v>4.5714285714285712</v>
      </c>
      <c r="BJ22" s="90">
        <f t="shared" si="11"/>
        <v>8.4</v>
      </c>
      <c r="BK22" s="90">
        <f t="shared" si="12"/>
        <v>10.5</v>
      </c>
      <c r="BL22" s="90">
        <f t="shared" si="13"/>
        <v>6.7857142857142856</v>
      </c>
    </row>
    <row r="23" spans="1:64" s="59" customFormat="1" ht="18.75">
      <c r="A23" s="38">
        <v>17</v>
      </c>
      <c r="B23" s="39" t="s">
        <v>61</v>
      </c>
      <c r="C23" s="40" t="s">
        <v>217</v>
      </c>
      <c r="D23" s="56" t="s">
        <v>127</v>
      </c>
      <c r="E23" s="56" t="s">
        <v>245</v>
      </c>
      <c r="F23" s="58"/>
      <c r="G23" s="58"/>
      <c r="H23" s="58"/>
      <c r="I23" s="58"/>
      <c r="J23" s="58"/>
      <c r="K23" s="58"/>
      <c r="L23" s="41">
        <f>SUMIF('прогноз на 20.05.12'!$C$7:$C$83,$C23,'прогноз на 20.05.12'!D$7:D$83)+SUMIF('прогноз на 20.05.12'!$C$7:$C$83,$E23,'прогноз на 20.05.12'!D$7:D$83)+SUMIF('прогноз на 20.05.12'!$C$7:$C$83,$G23,'прогноз на 20.05.12'!D$7:D$83)+SUMIF('прогноз на 20.05.12'!$C$7:$C$83,$I23,'прогноз на 20.05.12'!D$7:D$83)+SUMIF('прогноз на 20.05.12'!$C$7:$C$83,$K23,'прогноз на 20.05.12'!D$7:D$83)</f>
        <v>32</v>
      </c>
      <c r="M23" s="41">
        <f>SUMIF('прогноз на 20.05.12'!$C$7:$C$83,$C23,'прогноз на 20.05.12'!E$7:E$83)+SUMIF('прогноз на 20.05.12'!$C$7:$C$83,$E23,'прогноз на 20.05.12'!E$7:E$83)+SUMIF('прогноз на 20.05.12'!$C$7:$C$83,$G23,'прогноз на 20.05.12'!E$7:E$83)+SUMIF('прогноз на 20.05.12'!$C$7:$C$83,$I23,'прогноз на 20.05.12'!E$7:E$83)+SUMIF('прогноз на 20.05.12'!$C$7:$C$83,$K23,'прогноз на 20.05.12'!E$7:E$83)</f>
        <v>54</v>
      </c>
      <c r="N23" s="41">
        <f>SUMIF('прогноз на 20.05.12'!$C$7:$C$83,$C23,'прогноз на 20.05.12'!F$7:F$83)+SUMIF('прогноз на 20.05.12'!$C$7:$C$83,$E23,'прогноз на 20.05.12'!F$7:F$83)+SUMIF('прогноз на 20.05.12'!$C$7:$C$83,$G23,'прогноз на 20.05.12'!F$7:F$83)+SUMIF('прогноз на 20.05.12'!$C$7:$C$83,$I23,'прогноз на 20.05.12'!F$7:F$83)+SUMIF('прогноз на 20.05.12'!$C$7:$C$83,$K23,'прогноз на 20.05.12'!F$7:F$83)</f>
        <v>28</v>
      </c>
      <c r="O23" s="44">
        <f t="shared" si="6"/>
        <v>114</v>
      </c>
      <c r="P23" s="41">
        <f>SUMIF('прогноз на 20.05.12'!$C$7:$C$83,$C23,'прогноз на 20.05.12'!H$7:H$83)+SUMIF('прогноз на 20.05.12'!$C$7:$C$83,$E23,'прогноз на 20.05.12'!H$7:H$83)+SUMIF('прогноз на 20.05.12'!$C$7:$C$83,$G23,'прогноз на 20.05.12'!H$7:H$83)+SUMIF('прогноз на 20.05.12'!$C$7:$C$83,$I23,'прогноз на 20.05.12'!H$7:H$83)+SUMIF('прогноз на 20.05.12'!$C$7:$C$83,$K23,'прогноз на 20.05.12'!H$7:H$83)</f>
        <v>4</v>
      </c>
      <c r="Q23" s="41">
        <f>SUMIF('прогноз на 20.05.12'!$C$7:$C$83,$C23,'прогноз на 20.05.12'!I$7:I$83)+SUMIF('прогноз на 20.05.12'!$C$7:$C$83,$E23,'прогноз на 20.05.12'!I$7:I$83)+SUMIF('прогноз на 20.05.12'!$C$7:$C$83,$G23,'прогноз на 20.05.12'!I$7:I$83)+SUMIF('прогноз на 20.05.12'!$C$7:$C$83,$I23,'прогноз на 20.05.12'!I$7:I$83)+SUMIF('прогноз на 20.05.12'!$C$7:$C$83,$K23,'прогноз на 20.05.12'!I$7:I$83)</f>
        <v>5</v>
      </c>
      <c r="R23" s="41">
        <f>SUMIF('прогноз на 20.05.12'!$C$7:$C$83,$C23,'прогноз на 20.05.12'!J$7:J$83)+SUMIF('прогноз на 20.05.12'!$C$7:$C$83,$E23,'прогноз на 20.05.12'!J$7:J$83)+SUMIF('прогноз на 20.05.12'!$C$7:$C$83,$G23,'прогноз на 20.05.12'!J$7:J$83)+SUMIF('прогноз на 20.05.12'!$C$7:$C$83,$I23,'прогноз на 20.05.12'!J$7:J$83)+SUMIF('прогноз на 20.05.12'!$C$7:$C$83,$K23,'прогноз на 20.05.12'!J$7:J$83)</f>
        <v>2</v>
      </c>
      <c r="S23" s="45">
        <f>P23+Q23+R23</f>
        <v>11</v>
      </c>
      <c r="T23" s="41">
        <f>SUMIF('прогноз на 20.05.12'!$C$7:$C$83,$C23,'прогноз на 20.05.12'!L$7:L$83)+SUMIF('прогноз на 20.05.12'!$C$7:$C$83,$E23,'прогноз на 20.05.12'!L$7:L$83)+SUMIF('прогноз на 20.05.12'!$C$7:$C$83,$G23,'прогноз на 20.05.12'!L$7:L$83)+SUMIF('прогноз на 20.05.12'!$C$7:$C$83,$I23,'прогноз на 20.05.12'!L$7:L$83)+SUMIF('прогноз на 20.05.12'!$C$7:$C$83,$K23,'прогноз на 20.05.12'!L$7:L$83)</f>
        <v>0</v>
      </c>
      <c r="U23" s="41">
        <f>SUMIF('прогноз на 20.05.12'!$C$7:$C$83,$C23,'прогноз на 20.05.12'!M$7:M$83)+SUMIF('прогноз на 20.05.12'!$C$7:$C$83,$E23,'прогноз на 20.05.12'!M$7:M$83)+SUMIF('прогноз на 20.05.12'!$C$7:$C$83,$G23,'прогноз на 20.05.12'!M$7:M$83)+SUMIF('прогноз на 20.05.12'!$C$7:$C$83,$I23,'прогноз на 20.05.12'!M$7:M$83)+SUMIF('прогноз на 20.05.12'!$C$7:$C$83,$K23,'прогноз на 20.05.12'!M$7:M$83)</f>
        <v>0</v>
      </c>
      <c r="V23" s="41">
        <f>SUMIF('прогноз на 20.05.12'!$C$7:$C$83,$C23,'прогноз на 20.05.12'!N$7:N$83)+SUMIF('прогноз на 20.05.12'!$C$7:$C$83,$E23,'прогноз на 20.05.12'!N$7:N$83)+SUMIF('прогноз на 20.05.12'!$C$7:$C$83,$G23,'прогноз на 20.05.12'!N$7:N$83)+SUMIF('прогноз на 20.05.12'!$C$7:$C$83,$I23,'прогноз на 20.05.12'!N$7:N$83)+SUMIF('прогноз на 20.05.12'!$C$7:$C$83,$K23,'прогноз на 20.05.12'!N$7:N$83)</f>
        <v>0</v>
      </c>
      <c r="W23" s="45">
        <f>T23+U23+V23</f>
        <v>0</v>
      </c>
      <c r="X23" s="41">
        <f>SUMIF('прогноз на 20.05.12'!$C$7:$C$83,$C23,'прогноз на 20.05.12'!P$7:P$83)+SUMIF('прогноз на 20.05.12'!$C$7:$C$83,$E23,'прогноз на 20.05.12'!P$7:P$83)+SUMIF('прогноз на 20.05.12'!$C$7:$C$83,$G23,'прогноз на 20.05.12'!P$7:P$83)+SUMIF('прогноз на 20.05.12'!$C$7:$C$83,$I23,'прогноз на 20.05.12'!P$7:P$83)+SUMIF('прогноз на 20.05.12'!$C$7:$C$83,$K23,'прогноз на 20.05.12'!P$7:P$83)</f>
        <v>0</v>
      </c>
      <c r="Y23" s="41">
        <f>SUMIF('прогноз на 20.05.12'!$C$7:$C$83,$C23,'прогноз на 20.05.12'!Q$7:Q$83)+SUMIF('прогноз на 20.05.12'!$C$7:$C$83,$E23,'прогноз на 20.05.12'!Q$7:Q$83)+SUMIF('прогноз на 20.05.12'!$C$7:$C$83,$G23,'прогноз на 20.05.12'!Q$7:Q$83)+SUMIF('прогноз на 20.05.12'!$C$7:$C$83,$I23,'прогноз на 20.05.12'!Q$7:Q$83)+SUMIF('прогноз на 20.05.12'!$C$7:$C$83,$K23,'прогноз на 20.05.12'!Q$7:Q$83)</f>
        <v>0</v>
      </c>
      <c r="Z23" s="45"/>
      <c r="AA23" s="41">
        <f>SUMIF('прогноз на 20.05.12'!$C$7:$C$83,$C23,'прогноз на 20.05.12'!S$7:S$83)+SUMIF('прогноз на 20.05.12'!$C$7:$C$83,$E23,'прогноз на 20.05.12'!S$7:S$83)+SUMIF('прогноз на 20.05.12'!$C$7:$C$83,$G23,'прогноз на 20.05.12'!S$7:S$83)+SUMIF('прогноз на 20.05.12'!$C$7:$C$83,$I23,'прогноз на 20.05.12'!S$7:S$83)+SUMIF('прогноз на 20.05.12'!$C$7:$C$83,$K23,'прогноз на 20.05.12'!S$7:S$83)</f>
        <v>45</v>
      </c>
      <c r="AB23" s="41">
        <f>SUMIF('прогноз на 20.05.12'!$C$7:$C$83,$C23,'прогноз на 20.05.12'!T$7:T$83)+SUMIF('прогноз на 20.05.12'!$C$7:$C$83,$E23,'прогноз на 20.05.12'!T$7:T$83)+SUMIF('прогноз на 20.05.12'!$C$7:$C$83,$G23,'прогноз на 20.05.12'!T$7:T$83)+SUMIF('прогноз на 20.05.12'!$C$7:$C$83,$I23,'прогноз на 20.05.12'!T$7:T$83)+SUMIF('прогноз на 20.05.12'!$C$7:$C$83,$K23,'прогноз на 20.05.12'!T$7:T$83)</f>
        <v>70</v>
      </c>
      <c r="AC23" s="41">
        <f>SUMIF('прогноз на 20.05.12'!$C$7:$C$83,$C23,'прогноз на 20.05.12'!U$7:U$83)+SUMIF('прогноз на 20.05.12'!$C$7:$C$83,$E23,'прогноз на 20.05.12'!U$7:U$83)+SUMIF('прогноз на 20.05.12'!$C$7:$C$83,$G23,'прогноз на 20.05.12'!U$7:U$83)+SUMIF('прогноз на 20.05.12'!$C$7:$C$83,$I23,'прогноз на 20.05.12'!U$7:U$83)+SUMIF('прогноз на 20.05.12'!$C$7:$C$83,$K23,'прогноз на 20.05.12'!U$7:U$83)</f>
        <v>28</v>
      </c>
      <c r="AD23" s="41">
        <f>SUMIF('прогноз на 20.05.12'!$C$7:$C$83,$C23,'прогноз на 20.05.12'!V$7:V$83)+SUMIF('прогноз на 20.05.12'!$C$7:$C$83,$E23,'прогноз на 20.05.12'!V$7:V$83)+SUMIF('прогноз на 20.05.12'!$C$7:$C$83,$G23,'прогноз на 20.05.12'!V$7:V$83)+SUMIF('прогноз на 20.05.12'!$C$7:$C$83,$I23,'прогноз на 20.05.12'!V$7:V$83)+SUMIF('прогноз на 20.05.12'!$C$7:$C$83,$K23,'прогноз на 20.05.12'!V$7:V$83)</f>
        <v>143</v>
      </c>
      <c r="AE23" s="41">
        <f>SUMIF('прогноз на 20.05.12'!$C$7:$C$83,$C23,'прогноз на 20.05.12'!W$7:W$83)+SUMIF('прогноз на 20.05.12'!$C$7:$C$83,$E23,'прогноз на 20.05.12'!W$7:W$83)+SUMIF('прогноз на 20.05.12'!$C$7:$C$83,$G23,'прогноз на 20.05.12'!W$7:W$83)+SUMIF('прогноз на 20.05.12'!$C$7:$C$83,$I23,'прогноз на 20.05.12'!W$7:W$83)+SUMIF('прогноз на 20.05.12'!$C$7:$C$83,$K23,'прогноз на 20.05.12'!W$7:W$83)</f>
        <v>13</v>
      </c>
      <c r="AF23" s="41">
        <f>SUMIF('прогноз на 20.05.12'!$C$7:$C$83,$C23,'прогноз на 20.05.12'!X$7:X$83)+SUMIF('прогноз на 20.05.12'!$C$7:$C$83,$E23,'прогноз на 20.05.12'!X$7:X$83)+SUMIF('прогноз на 20.05.12'!$C$7:$C$83,$G23,'прогноз на 20.05.12'!X$7:X$83)+SUMIF('прогноз на 20.05.12'!$C$7:$C$83,$I23,'прогноз на 20.05.12'!X$7:X$83)+SUMIF('прогноз на 20.05.12'!$C$7:$C$83,$K23,'прогноз на 20.05.12'!X$7:X$83)</f>
        <v>16</v>
      </c>
      <c r="AG23" s="41">
        <f>SUMIF('прогноз на 20.05.12'!$C$7:$C$83,$C23,'прогноз на 20.05.12'!Y$7:Y$83)+SUMIF('прогноз на 20.05.12'!$C$7:$C$83,$E23,'прогноз на 20.05.12'!Y$7:Y$83)+SUMIF('прогноз на 20.05.12'!$C$7:$C$83,$G23,'прогноз на 20.05.12'!Y$7:Y$83)+SUMIF('прогноз на 20.05.12'!$C$7:$C$83,$I23,'прогноз на 20.05.12'!Y$7:Y$83)+SUMIF('прогноз на 20.05.12'!$C$7:$C$83,$K23,'прогноз на 20.05.12'!Y$7:Y$83)</f>
        <v>0</v>
      </c>
      <c r="AH23" s="41">
        <f>SUMIF('прогноз на 20.05.12'!$C$7:$C$83,$C23,'прогноз на 20.05.12'!Z$7:Z$83)+SUMIF('прогноз на 20.05.12'!$C$7:$C$83,$E23,'прогноз на 20.05.12'!Z$7:Z$83)+SUMIF('прогноз на 20.05.12'!$C$7:$C$83,$G23,'прогноз на 20.05.12'!Z$7:Z$83)+SUMIF('прогноз на 20.05.12'!$C$7:$C$83,$I23,'прогноз на 20.05.12'!Z$7:Z$83)+SUMIF('прогноз на 20.05.12'!$C$7:$C$83,$K23,'прогноз на 20.05.12'!Z$7:Z$83)</f>
        <v>29</v>
      </c>
      <c r="AI23" s="41">
        <f>SUMIF('прогноз на 20.05.12'!$C$7:$C$83,$C23,'прогноз на 20.05.12'!AA$7:AA$83)+SUMIF('прогноз на 20.05.12'!$C$7:$C$83,$E23,'прогноз на 20.05.12'!AA$7:AA$83)+SUMIF('прогноз на 20.05.12'!$C$7:$C$83,$G23,'прогноз на 20.05.12'!AA$7:AA$83)+SUMIF('прогноз на 20.05.12'!$C$7:$C$83,$I23,'прогноз на 20.05.12'!AA$7:AA$83)+SUMIF('прогноз на 20.05.12'!$C$7:$C$83,$K23,'прогноз на 20.05.12'!AA$7:AA$83)</f>
        <v>9.75</v>
      </c>
      <c r="AJ23" s="41">
        <f>SUMIF('прогноз на 20.05.12'!$C$7:$C$83,$C23,'прогноз на 20.05.12'!AB$7:AB$83)+SUMIF('прогноз на 20.05.12'!$C$7:$C$83,$E23,'прогноз на 20.05.12'!AB$7:AB$83)+SUMIF('прогноз на 20.05.12'!$C$7:$C$83,$G23,'прогноз на 20.05.12'!AB$7:AB$83)+SUMIF('прогноз на 20.05.12'!$C$7:$C$83,$I23,'прогноз на 20.05.12'!AB$7:AB$83)+SUMIF('прогноз на 20.05.12'!$C$7:$C$83,$K23,'прогноз на 20.05.12'!AB$7:AB$83)</f>
        <v>12</v>
      </c>
      <c r="AK23" s="41">
        <f>SUMIF('прогноз на 20.05.12'!$C$7:$C$83,$C23,'прогноз на 20.05.12'!AC$7:AC$83)+SUMIF('прогноз на 20.05.12'!$C$7:$C$83,$E23,'прогноз на 20.05.12'!AC$7:AC$83)+SUMIF('прогноз на 20.05.12'!$C$7:$C$83,$G23,'прогноз на 20.05.12'!AC$7:AC$83)+SUMIF('прогноз на 20.05.12'!$C$7:$C$83,$I23,'прогноз на 20.05.12'!AC$7:AC$83)+SUMIF('прогноз на 20.05.12'!$C$7:$C$83,$K23,'прогноз на 20.05.12'!AC$7:AC$83)</f>
        <v>0</v>
      </c>
      <c r="AL23" s="41">
        <f>SUMIF('прогноз на 20.05.12'!$C$7:$C$83,$C23,'прогноз на 20.05.12'!AD$7:AD$83)+SUMIF('прогноз на 20.05.12'!$C$7:$C$83,$E23,'прогноз на 20.05.12'!AD$7:AD$83)+SUMIF('прогноз на 20.05.12'!$C$7:$C$83,$G23,'прогноз на 20.05.12'!AD$7:AD$83)+SUMIF('прогноз на 20.05.12'!$C$7:$C$83,$I23,'прогноз на 20.05.12'!AD$7:AD$83)+SUMIF('прогноз на 20.05.12'!$C$7:$C$83,$K23,'прогноз на 20.05.12'!AD$7:AD$83)</f>
        <v>21.75</v>
      </c>
      <c r="AM23" s="41">
        <f>SUMIF('прогноз на 20.05.12'!$C$7:$C$83,$C23,'прогноз на 20.05.12'!AE$7:AE$83)+SUMIF('прогноз на 20.05.12'!$C$7:$C$83,$E23,'прогноз на 20.05.12'!AE$7:AE$83)+SUMIF('прогноз на 20.05.12'!$C$7:$C$83,$G23,'прогноз на 20.05.12'!AE$7:AE$83)+SUMIF('прогноз на 20.05.12'!$C$7:$C$83,$I23,'прогноз на 20.05.12'!AE$7:AE$83)+SUMIF('прогноз на 20.05.12'!$C$7:$C$83,$K23,'прогноз на 20.05.12'!AE$7:AE$83)</f>
        <v>41.75</v>
      </c>
      <c r="AN23" s="41">
        <f>SUMIF('прогноз на 20.05.12'!$C$7:$C$83,$C23,'прогноз на 20.05.12'!AF$7:AF$83)+SUMIF('прогноз на 20.05.12'!$C$7:$C$83,$E23,'прогноз на 20.05.12'!AF$7:AF$83)+SUMIF('прогноз на 20.05.12'!$C$7:$C$83,$G23,'прогноз на 20.05.12'!AF$7:AF$83)+SUMIF('прогноз на 20.05.12'!$C$7:$C$83,$I23,'прогноз на 20.05.12'!AF$7:AF$83)+SUMIF('прогноз на 20.05.12'!$C$7:$C$83,$K23,'прогноз на 20.05.12'!AF$7:AF$83)</f>
        <v>66</v>
      </c>
      <c r="AO23" s="41">
        <f>SUMIF('прогноз на 20.05.12'!$C$7:$C$83,$C23,'прогноз на 20.05.12'!AG$7:AG$83)+SUMIF('прогноз на 20.05.12'!$C$7:$C$83,$E23,'прогноз на 20.05.12'!AG$7:AG$83)+SUMIF('прогноз на 20.05.12'!$C$7:$C$83,$G23,'прогноз на 20.05.12'!AG$7:AG$83)+SUMIF('прогноз на 20.05.12'!$C$7:$C$83,$I23,'прогноз на 20.05.12'!AG$7:AG$83)+SUMIF('прогноз на 20.05.12'!$C$7:$C$83,$K23,'прогноз на 20.05.12'!AG$7:AG$83)</f>
        <v>28</v>
      </c>
      <c r="AP23" s="41">
        <f>SUMIF('прогноз на 20.05.12'!$C$7:$C$83,$C23,'прогноз на 20.05.12'!AH$7:AH$83)+SUMIF('прогноз на 20.05.12'!$C$7:$C$83,$E23,'прогноз на 20.05.12'!AH$7:AH$83)+SUMIF('прогноз на 20.05.12'!$C$7:$C$83,$G23,'прогноз на 20.05.12'!AH$7:AH$83)+SUMIF('прогноз на 20.05.12'!$C$7:$C$83,$I23,'прогноз на 20.05.12'!AH$7:AH$83)+SUMIF('прогноз на 20.05.12'!$C$7:$C$83,$K23,'прогноз на 20.05.12'!AH$7:AH$83)</f>
        <v>135.75</v>
      </c>
      <c r="AQ23" s="41">
        <f>SUMIF('прогноз на 20.05.12'!$C$7:$C$83,$C23,'прогноз на 20.05.12'!AM$7:AM$83)+SUMIF('прогноз на 20.05.12'!$C$7:$C$83,$E23,'прогноз на 20.05.12'!AM$7:AM$83)+SUMIF('прогноз на 20.05.12'!$C$7:$C$83,$G23,'прогноз на 20.05.12'!AM$7:AM$83)+SUMIF('прогноз на 20.05.12'!$C$7:$C$83,$I23,'прогноз на 20.05.12'!AM$7:AM$83)+SUMIF('прогноз на 20.05.12'!$C$7:$C$83,$K23,'прогноз на 20.05.12'!AM$7:AM$83)</f>
        <v>194580.75</v>
      </c>
      <c r="AR23" s="41">
        <f>SUMIF('прогноз на 20.05.12'!$C$7:$C$83,$C23,'прогноз на 20.05.12'!AN$7:AN$83)+SUMIF('прогноз на 20.05.12'!$C$7:$C$83,$E23,'прогноз на 20.05.12'!AN$7:AN$83)+SUMIF('прогноз на 20.05.12'!$C$7:$C$83,$G23,'прогноз на 20.05.12'!AN$7:AN$83)+SUMIF('прогноз на 20.05.12'!$C$7:$C$83,$I23,'прогноз на 20.05.12'!AN$7:AN$83)+SUMIF('прогноз на 20.05.12'!$C$7:$C$83,$K23,'прогноз на 20.05.12'!AN$7:AN$83)</f>
        <v>407748</v>
      </c>
      <c r="AS23" s="41">
        <f>SUMIF('прогноз на 20.05.12'!$C$7:$C$83,$C23,'прогноз на 20.05.12'!AO$7:AO$83)+SUMIF('прогноз на 20.05.12'!$C$7:$C$83,$E23,'прогноз на 20.05.12'!AO$7:AO$83)+SUMIF('прогноз на 20.05.12'!$C$7:$C$83,$G23,'прогноз на 20.05.12'!AO$7:AO$83)+SUMIF('прогноз на 20.05.12'!$C$7:$C$83,$I23,'прогноз на 20.05.12'!AO$7:AO$83)+SUMIF('прогноз на 20.05.12'!$C$7:$C$83,$K23,'прогноз на 20.05.12'!AO$7:AO$83)</f>
        <v>0</v>
      </c>
      <c r="AT23" s="41">
        <f>SUMIF('прогноз на 20.05.12'!$C$7:$C$83,$C23,'прогноз на 20.05.12'!AP$7:AP$83)+SUMIF('прогноз на 20.05.12'!$C$7:$C$83,$E23,'прогноз на 20.05.12'!AP$7:AP$83)+SUMIF('прогноз на 20.05.12'!$C$7:$C$83,$G23,'прогноз на 20.05.12'!AP$7:AP$83)+SUMIF('прогноз на 20.05.12'!$C$7:$C$83,$I23,'прогноз на 20.05.12'!AP$7:AP$83)+SUMIF('прогноз на 20.05.12'!$C$7:$C$83,$K23,'прогноз на 20.05.12'!AP$7:AP$83)</f>
        <v>602328.75</v>
      </c>
      <c r="AU23" s="41">
        <f>SUMIF('прогноз на 20.05.12'!$C$7:$C$83,$C23,'прогноз на 20.05.12'!AU$7:AU$83)+SUMIF('прогноз на 20.05.12'!$C$7:$C$83,$E23,'прогноз на 20.05.12'!AU$7:AU$83)+SUMIF('прогноз на 20.05.12'!$C$7:$C$83,$G23,'прогноз на 20.05.12'!AU$7:AU$83)+SUMIF('прогноз на 20.05.12'!$C$7:$C$83,$I23,'прогноз на 20.05.12'!AU$7:AU$83)+SUMIF('прогноз на 20.05.12'!$C$7:$C$83,$K23,'прогноз на 20.05.12'!AU$7:AU$83)</f>
        <v>12333.75</v>
      </c>
      <c r="AV23" s="41">
        <f>SUMIF('прогноз на 20.05.12'!$C$7:$C$83,$C23,'прогноз на 20.05.12'!AV$7:AV$83)+SUMIF('прогноз на 20.05.12'!$C$7:$C$83,$E23,'прогноз на 20.05.12'!AV$7:AV$83)+SUMIF('прогноз на 20.05.12'!$C$7:$C$83,$G23,'прогноз на 20.05.12'!AV$7:AV$83)+SUMIF('прогноз на 20.05.12'!$C$7:$C$83,$I23,'прогноз на 20.05.12'!AV$7:AV$83)+SUMIF('прогноз на 20.05.12'!$C$7:$C$83,$K23,'прогноз на 20.05.12'!AV$7:AV$83)</f>
        <v>17292</v>
      </c>
      <c r="AW23" s="41">
        <f>SUMIF('прогноз на 20.05.12'!$C$7:$C$83,$C23,'прогноз на 20.05.12'!AW$7:AW$83)+SUMIF('прогноз на 20.05.12'!$C$7:$C$83,$E23,'прогноз на 20.05.12'!AW$7:AW$83)+SUMIF('прогноз на 20.05.12'!$C$7:$C$83,$G23,'прогноз на 20.05.12'!AW$7:AW$83)+SUMIF('прогноз на 20.05.12'!$C$7:$C$83,$I23,'прогноз на 20.05.12'!AW$7:AW$83)+SUMIF('прогноз на 20.05.12'!$C$7:$C$83,$K23,'прогноз на 20.05.12'!AW$7:AW$83)</f>
        <v>0</v>
      </c>
      <c r="AX23" s="41">
        <f>SUMIF('прогноз на 20.05.12'!$C$7:$C$83,$C23,'прогноз на 20.05.12'!AX$7:AX$83)+SUMIF('прогноз на 20.05.12'!$C$7:$C$83,$E23,'прогноз на 20.05.12'!AX$7:AX$83)+SUMIF('прогноз на 20.05.12'!$C$7:$C$83,$G23,'прогноз на 20.05.12'!AX$7:AX$83)+SUMIF('прогноз на 20.05.12'!$C$7:$C$83,$I23,'прогноз на 20.05.12'!AX$7:AX$83)+SUMIF('прогноз на 20.05.12'!$C$7:$C$83,$K23,'прогноз на 20.05.12'!AX$7:AX$83)</f>
        <v>29625.75</v>
      </c>
      <c r="AY23" s="41">
        <f>SUMIF('прогноз на 20.05.12'!$C$7:$C$83,$C23,'прогноз на 20.05.12'!AY$7:AY$83)+SUMIF('прогноз на 20.05.12'!$C$7:$C$83,$E23,'прогноз на 20.05.12'!AY$7:AY$83)+SUMIF('прогноз на 20.05.12'!$C$7:$C$83,$G23,'прогноз на 20.05.12'!AY$7:AY$83)+SUMIF('прогноз на 20.05.12'!$C$7:$C$83,$I23,'прогноз на 20.05.12'!AY$7:AY$83)+SUMIF('прогноз на 20.05.12'!$C$7:$C$83,$K23,'прогноз на 20.05.12'!AY$7:AY$83)</f>
        <v>206914.5</v>
      </c>
      <c r="AZ23" s="41">
        <f>SUMIF('прогноз на 20.05.12'!$C$7:$C$83,$C23,'прогноз на 20.05.12'!AZ$7:AZ$83)+SUMIF('прогноз на 20.05.12'!$C$7:$C$83,$E23,'прогноз на 20.05.12'!AZ$7:AZ$83)+SUMIF('прогноз на 20.05.12'!$C$7:$C$83,$G23,'прогноз на 20.05.12'!AZ$7:AZ$83)+SUMIF('прогноз на 20.05.12'!$C$7:$C$83,$I23,'прогноз на 20.05.12'!AZ$7:AZ$83)+SUMIF('прогноз на 20.05.12'!$C$7:$C$83,$K23,'прогноз на 20.05.12'!AZ$7:AZ$83)</f>
        <v>425040</v>
      </c>
      <c r="BA23" s="41">
        <f>SUMIF('прогноз на 20.05.12'!$C$7:$C$83,$C23,'прогноз на 20.05.12'!BA$7:BA$83)+SUMIF('прогноз на 20.05.12'!$C$7:$C$83,$E23,'прогноз на 20.05.12'!BA$7:BA$83)+SUMIF('прогноз на 20.05.12'!$C$7:$C$83,$G23,'прогноз на 20.05.12'!BA$7:BA$83)+SUMIF('прогноз на 20.05.12'!$C$7:$C$83,$I23,'прогноз на 20.05.12'!BA$7:BA$83)+SUMIF('прогноз на 20.05.12'!$C$7:$C$83,$K23,'прогноз на 20.05.12'!BA$7:BA$83)</f>
        <v>0</v>
      </c>
      <c r="BB23" s="41">
        <f>SUMIF('прогноз на 20.05.12'!$C$7:$C$83,$C23,'прогноз на 20.05.12'!BB$7:BB$83)+SUMIF('прогноз на 20.05.12'!$C$7:$C$83,$E23,'прогноз на 20.05.12'!BB$7:BB$83)+SUMIF('прогноз на 20.05.12'!$C$7:$C$83,$G23,'прогноз на 20.05.12'!BB$7:BB$83)+SUMIF('прогноз на 20.05.12'!$C$7:$C$83,$I23,'прогноз на 20.05.12'!BB$7:BB$83)+SUMIF('прогноз на 20.05.12'!$C$7:$C$83,$K23,'прогноз на 20.05.12'!BB$7:BB$83)</f>
        <v>631954.5</v>
      </c>
      <c r="BC23" s="41">
        <f>SUMIF('прогноз на 20.05.12'!$C$7:$C$83,$C23,'прогноз на 20.05.12'!BC$7:BC$83)+SUMIF('прогноз на 20.05.12'!$C$7:$C$83,$E23,'прогноз на 20.05.12'!BC$7:BC$83)+SUMIF('прогноз на 20.05.12'!$C$7:$C$83,$G23,'прогноз на 20.05.12'!BC$7:BC$83)+SUMIF('прогноз на 20.05.12'!$C$7:$C$83,$I23,'прогноз на 20.05.12'!BC$7:BC$83)+SUMIF('прогноз на 20.05.12'!$C$7:$C$83,$K23,'прогноз на 20.05.12'!BC$7:BC$83)</f>
        <v>1354028</v>
      </c>
      <c r="BD23" s="41">
        <f>SUMIF('прогноз на 20.05.12'!$C$7:$C$83,$C23,'прогноз на 20.05.12'!BD$7:BD$83)+SUMIF('прогноз на 20.05.12'!$C$7:$C$83,$E23,'прогноз на 20.05.12'!BD$7:BD$83)+SUMIF('прогноз на 20.05.12'!$C$7:$C$83,$G23,'прогноз на 20.05.12'!BD$7:BD$83)+SUMIF('прогноз на 20.05.12'!$C$7:$C$83,$I23,'прогноз на 20.05.12'!BD$7:BD$83)+SUMIF('прогноз на 20.05.12'!$C$7:$C$83,$K23,'прогноз на 20.05.12'!BD$7:BD$83)</f>
        <v>1354028</v>
      </c>
      <c r="BE23" s="41">
        <f>SUMIF('прогноз на 20.05.12'!$C$7:$C$83,$C23,'прогноз на 20.05.12'!BE$7:BE$83)+SUMIF('прогноз на 20.05.12'!$C$7:$C$83,$E23,'прогноз на 20.05.12'!BE$7:BE$83)+SUMIF('прогноз на 20.05.12'!$C$7:$C$83,$G23,'прогноз на 20.05.12'!BE$7:BE$83)+SUMIF('прогноз на 20.05.12'!$C$7:$C$83,$I23,'прогноз на 20.05.12'!BE$7:BE$83)+SUMIF('прогноз на 20.05.12'!$C$7:$C$83,$K23,'прогноз на 20.05.12'!BE$7:BE$83)</f>
        <v>0</v>
      </c>
      <c r="BF23" s="41">
        <f>SUMIF('прогноз на 20.05.12'!$C$7:$C$83,$C23,'прогноз на 20.05.12'!BF$7:BF$83)+SUMIF('прогноз на 20.05.12'!$C$7:$C$83,$E23,'прогноз на 20.05.12'!BF$7:BF$83)+SUMIF('прогноз на 20.05.12'!$C$7:$C$83,$G23,'прогноз на 20.05.12'!BF$7:BF$83)+SUMIF('прогноз на 20.05.12'!$C$7:$C$83,$I23,'прогноз на 20.05.12'!BF$7:BF$83)+SUMIF('прогноз на 20.05.12'!$C$7:$C$83,$K23,'прогноз на 20.05.12'!BF$7:BF$83)</f>
        <v>722073.5</v>
      </c>
      <c r="BG23" s="41">
        <f>SUMIF('прогноз на 20.05.12'!$C$7:$C$83,$C23,'прогноз на 20.05.12'!BG$7:BG$83)+SUMIF('прогноз на 20.05.12'!$C$7:$C$83,$E23,'прогноз на 20.05.12'!BG$7:BG$83)+SUMIF('прогноз на 20.05.12'!$C$7:$C$83,$G23,'прогноз на 20.05.12'!BG$7:BG$83)+SUMIF('прогноз на 20.05.12'!$C$7:$C$83,$I23,'прогноз на 20.05.12'!BG$7:BG$83)+SUMIF('прогноз на 20.05.12'!$C$7:$C$83,$K23,'прогноз на 20.05.12'!BG$7:BG$83)</f>
        <v>722073.5</v>
      </c>
      <c r="BH23" s="41">
        <f>SUMIF('прогноз на 20.05.12'!$C$7:$C$83,$C23,'прогноз на 20.05.12'!BH$7:BH$83)+SUMIF('прогноз на 20.05.12'!$C$7:$C$83,$E23,'прогноз на 20.05.12'!BH$7:BH$83)+SUMIF('прогноз на 20.05.12'!$C$7:$C$83,$G23,'прогноз на 20.05.12'!BH$7:BH$83)+SUMIF('прогноз на 20.05.12'!$C$7:$C$83,$I23,'прогноз на 20.05.12'!BH$7:BH$83)+SUMIF('прогноз на 20.05.12'!$C$7:$C$83,$K23,'прогноз на 20.05.12'!BH$7:BH$83)</f>
        <v>0</v>
      </c>
      <c r="BI23" s="90">
        <f t="shared" si="10"/>
        <v>8</v>
      </c>
      <c r="BJ23" s="90">
        <f t="shared" si="11"/>
        <v>10.8</v>
      </c>
      <c r="BK23" s="90">
        <f t="shared" si="12"/>
        <v>14</v>
      </c>
      <c r="BL23" s="90">
        <f t="shared" si="13"/>
        <v>10.363636363636363</v>
      </c>
    </row>
    <row r="24" spans="1:64" s="59" customFormat="1" ht="18.75">
      <c r="A24" s="38">
        <v>18</v>
      </c>
      <c r="B24" s="39" t="s">
        <v>62</v>
      </c>
      <c r="C24" s="40" t="s">
        <v>222</v>
      </c>
      <c r="D24" s="56" t="s">
        <v>39</v>
      </c>
      <c r="E24" s="56" t="s">
        <v>243</v>
      </c>
      <c r="F24" s="56" t="s">
        <v>43</v>
      </c>
      <c r="G24" s="56" t="s">
        <v>249</v>
      </c>
      <c r="H24" s="56" t="s">
        <v>45</v>
      </c>
      <c r="I24" s="56" t="s">
        <v>253</v>
      </c>
      <c r="J24" s="58"/>
      <c r="K24" s="58"/>
      <c r="L24" s="41">
        <f>SUMIF('прогноз на 20.05.12'!$C$7:$C$83,$C24,'прогноз на 20.05.12'!D$7:D$83)+SUMIF('прогноз на 20.05.12'!$C$7:$C$83,$E24,'прогноз на 20.05.12'!D$7:D$83)+SUMIF('прогноз на 20.05.12'!$C$7:$C$83,$G24,'прогноз на 20.05.12'!D$7:D$83)+SUMIF('прогноз на 20.05.12'!$C$7:$C$83,$I24,'прогноз на 20.05.12'!D$7:D$83)+SUMIF('прогноз на 20.05.12'!$C$7:$C$83,$K24,'прогноз на 20.05.12'!D$7:D$83)</f>
        <v>38</v>
      </c>
      <c r="M24" s="41">
        <f>SUMIF('прогноз на 20.05.12'!$C$7:$C$83,$C24,'прогноз на 20.05.12'!E$7:E$83)+SUMIF('прогноз на 20.05.12'!$C$7:$C$83,$E24,'прогноз на 20.05.12'!E$7:E$83)+SUMIF('прогноз на 20.05.12'!$C$7:$C$83,$G24,'прогноз на 20.05.12'!E$7:E$83)+SUMIF('прогноз на 20.05.12'!$C$7:$C$83,$I24,'прогноз на 20.05.12'!E$7:E$83)+SUMIF('прогноз на 20.05.12'!$C$7:$C$83,$K24,'прогноз на 20.05.12'!E$7:E$83)</f>
        <v>73</v>
      </c>
      <c r="N24" s="41">
        <f>SUMIF('прогноз на 20.05.12'!$C$7:$C$83,$C24,'прогноз на 20.05.12'!F$7:F$83)+SUMIF('прогноз на 20.05.12'!$C$7:$C$83,$E24,'прогноз на 20.05.12'!F$7:F$83)+SUMIF('прогноз на 20.05.12'!$C$7:$C$83,$G24,'прогноз на 20.05.12'!F$7:F$83)+SUMIF('прогноз на 20.05.12'!$C$7:$C$83,$I24,'прогноз на 20.05.12'!F$7:F$83)+SUMIF('прогноз на 20.05.12'!$C$7:$C$83,$K24,'прогноз на 20.05.12'!F$7:F$83)</f>
        <v>34</v>
      </c>
      <c r="O24" s="44">
        <f t="shared" si="6"/>
        <v>145</v>
      </c>
      <c r="P24" s="41">
        <f>SUMIF('прогноз на 20.05.12'!$C$7:$C$83,$C24,'прогноз на 20.05.12'!H$7:H$83)+SUMIF('прогноз на 20.05.12'!$C$7:$C$83,$E24,'прогноз на 20.05.12'!H$7:H$83)+SUMIF('прогноз на 20.05.12'!$C$7:$C$83,$G24,'прогноз на 20.05.12'!H$7:H$83)+SUMIF('прогноз на 20.05.12'!$C$7:$C$83,$I24,'прогноз на 20.05.12'!H$7:H$83)+SUMIF('прогноз на 20.05.12'!$C$7:$C$83,$K24,'прогноз на 20.05.12'!H$7:H$83)</f>
        <v>7</v>
      </c>
      <c r="Q24" s="41">
        <f>SUMIF('прогноз на 20.05.12'!$C$7:$C$83,$C24,'прогноз на 20.05.12'!I$7:I$83)+SUMIF('прогноз на 20.05.12'!$C$7:$C$83,$E24,'прогноз на 20.05.12'!I$7:I$83)+SUMIF('прогноз на 20.05.12'!$C$7:$C$83,$G24,'прогноз на 20.05.12'!I$7:I$83)+SUMIF('прогноз на 20.05.12'!$C$7:$C$83,$I24,'прогноз на 20.05.12'!I$7:I$83)+SUMIF('прогноз на 20.05.12'!$C$7:$C$83,$K24,'прогноз на 20.05.12'!I$7:I$83)</f>
        <v>5</v>
      </c>
      <c r="R24" s="41">
        <f>SUMIF('прогноз на 20.05.12'!$C$7:$C$83,$C24,'прогноз на 20.05.12'!J$7:J$83)+SUMIF('прогноз на 20.05.12'!$C$7:$C$83,$E24,'прогноз на 20.05.12'!J$7:J$83)+SUMIF('прогноз на 20.05.12'!$C$7:$C$83,$G24,'прогноз на 20.05.12'!J$7:J$83)+SUMIF('прогноз на 20.05.12'!$C$7:$C$83,$I24,'прогноз на 20.05.12'!J$7:J$83)+SUMIF('прогноз на 20.05.12'!$C$7:$C$83,$K24,'прогноз на 20.05.12'!J$7:J$83)</f>
        <v>2</v>
      </c>
      <c r="S24" s="45">
        <f t="shared" si="7"/>
        <v>14</v>
      </c>
      <c r="T24" s="41">
        <f>SUMIF('прогноз на 20.05.12'!$C$7:$C$83,$C24,'прогноз на 20.05.12'!L$7:L$83)+SUMIF('прогноз на 20.05.12'!$C$7:$C$83,$E24,'прогноз на 20.05.12'!L$7:L$83)+SUMIF('прогноз на 20.05.12'!$C$7:$C$83,$G24,'прогноз на 20.05.12'!L$7:L$83)+SUMIF('прогноз на 20.05.12'!$C$7:$C$83,$I24,'прогноз на 20.05.12'!L$7:L$83)+SUMIF('прогноз на 20.05.12'!$C$7:$C$83,$K24,'прогноз на 20.05.12'!L$7:L$83)</f>
        <v>0</v>
      </c>
      <c r="U24" s="41">
        <f>SUMIF('прогноз на 20.05.12'!$C$7:$C$83,$C24,'прогноз на 20.05.12'!M$7:M$83)+SUMIF('прогноз на 20.05.12'!$C$7:$C$83,$E24,'прогноз на 20.05.12'!M$7:M$83)+SUMIF('прогноз на 20.05.12'!$C$7:$C$83,$G24,'прогноз на 20.05.12'!M$7:M$83)+SUMIF('прогноз на 20.05.12'!$C$7:$C$83,$I24,'прогноз на 20.05.12'!M$7:M$83)+SUMIF('прогноз на 20.05.12'!$C$7:$C$83,$K24,'прогноз на 20.05.12'!M$7:M$83)</f>
        <v>1</v>
      </c>
      <c r="V24" s="41">
        <f>SUMIF('прогноз на 20.05.12'!$C$7:$C$83,$C24,'прогноз на 20.05.12'!N$7:N$83)+SUMIF('прогноз на 20.05.12'!$C$7:$C$83,$E24,'прогноз на 20.05.12'!N$7:N$83)+SUMIF('прогноз на 20.05.12'!$C$7:$C$83,$G24,'прогноз на 20.05.12'!N$7:N$83)+SUMIF('прогноз на 20.05.12'!$C$7:$C$83,$I24,'прогноз на 20.05.12'!N$7:N$83)+SUMIF('прогноз на 20.05.12'!$C$7:$C$83,$K24,'прогноз на 20.05.12'!N$7:N$83)</f>
        <v>0</v>
      </c>
      <c r="W24" s="45">
        <f t="shared" si="8"/>
        <v>1</v>
      </c>
      <c r="X24" s="41">
        <f>SUMIF('прогноз на 20.05.12'!$C$7:$C$83,$C24,'прогноз на 20.05.12'!P$7:P$83)+SUMIF('прогноз на 20.05.12'!$C$7:$C$83,$E24,'прогноз на 20.05.12'!P$7:P$83)+SUMIF('прогноз на 20.05.12'!$C$7:$C$83,$G24,'прогноз на 20.05.12'!P$7:P$83)+SUMIF('прогноз на 20.05.12'!$C$7:$C$83,$I24,'прогноз на 20.05.12'!P$7:P$83)+SUMIF('прогноз на 20.05.12'!$C$7:$C$83,$K24,'прогноз на 20.05.12'!P$7:P$83)</f>
        <v>1</v>
      </c>
      <c r="Y24" s="41">
        <f>SUMIF('прогноз на 20.05.12'!$C$7:$C$83,$C24,'прогноз на 20.05.12'!Q$7:Q$83)+SUMIF('прогноз на 20.05.12'!$C$7:$C$83,$E24,'прогноз на 20.05.12'!Q$7:Q$83)+SUMIF('прогноз на 20.05.12'!$C$7:$C$83,$G24,'прогноз на 20.05.12'!Q$7:Q$83)+SUMIF('прогноз на 20.05.12'!$C$7:$C$83,$I24,'прогноз на 20.05.12'!Q$7:Q$83)+SUMIF('прогноз на 20.05.12'!$C$7:$C$83,$K24,'прогноз на 20.05.12'!Q$7:Q$83)</f>
        <v>25</v>
      </c>
      <c r="Z24" s="45"/>
      <c r="AA24" s="41">
        <f>SUMIF('прогноз на 20.05.12'!$C$7:$C$83,$C24,'прогноз на 20.05.12'!S$7:S$83)+SUMIF('прогноз на 20.05.12'!$C$7:$C$83,$E24,'прогноз на 20.05.12'!S$7:S$83)+SUMIF('прогноз на 20.05.12'!$C$7:$C$83,$G24,'прогноз на 20.05.12'!S$7:S$83)+SUMIF('прогноз на 20.05.12'!$C$7:$C$83,$I24,'прогноз на 20.05.12'!S$7:S$83)+SUMIF('прогноз на 20.05.12'!$C$7:$C$83,$K24,'прогноз на 20.05.12'!S$7:S$83)</f>
        <v>58</v>
      </c>
      <c r="AB24" s="41">
        <f>SUMIF('прогноз на 20.05.12'!$C$7:$C$83,$C24,'прогноз на 20.05.12'!T$7:T$83)+SUMIF('прогноз на 20.05.12'!$C$7:$C$83,$E24,'прогноз на 20.05.12'!T$7:T$83)+SUMIF('прогноз на 20.05.12'!$C$7:$C$83,$G24,'прогноз на 20.05.12'!T$7:T$83)+SUMIF('прогноз на 20.05.12'!$C$7:$C$83,$I24,'прогноз на 20.05.12'!T$7:T$83)+SUMIF('прогноз на 20.05.12'!$C$7:$C$83,$K24,'прогноз на 20.05.12'!T$7:T$83)</f>
        <v>70</v>
      </c>
      <c r="AC24" s="41">
        <f>SUMIF('прогноз на 20.05.12'!$C$7:$C$83,$C24,'прогноз на 20.05.12'!U$7:U$83)+SUMIF('прогноз на 20.05.12'!$C$7:$C$83,$E24,'прогноз на 20.05.12'!U$7:U$83)+SUMIF('прогноз на 20.05.12'!$C$7:$C$83,$G24,'прогноз на 20.05.12'!U$7:U$83)+SUMIF('прогноз на 20.05.12'!$C$7:$C$83,$I24,'прогноз на 20.05.12'!U$7:U$83)+SUMIF('прогноз на 20.05.12'!$C$7:$C$83,$K24,'прогноз на 20.05.12'!U$7:U$83)</f>
        <v>28</v>
      </c>
      <c r="AD24" s="41">
        <f>SUMIF('прогноз на 20.05.12'!$C$7:$C$83,$C24,'прогноз на 20.05.12'!V$7:V$83)+SUMIF('прогноз на 20.05.12'!$C$7:$C$83,$E24,'прогноз на 20.05.12'!V$7:V$83)+SUMIF('прогноз на 20.05.12'!$C$7:$C$83,$G24,'прогноз на 20.05.12'!V$7:V$83)+SUMIF('прогноз на 20.05.12'!$C$7:$C$83,$I24,'прогноз на 20.05.12'!V$7:V$83)+SUMIF('прогноз на 20.05.12'!$C$7:$C$83,$K24,'прогноз на 20.05.12'!V$7:V$83)</f>
        <v>156</v>
      </c>
      <c r="AE24" s="41">
        <f>SUMIF('прогноз на 20.05.12'!$C$7:$C$83,$C24,'прогноз на 20.05.12'!W$7:W$83)+SUMIF('прогноз на 20.05.12'!$C$7:$C$83,$E24,'прогноз на 20.05.12'!W$7:W$83)+SUMIF('прогноз на 20.05.12'!$C$7:$C$83,$G24,'прогноз на 20.05.12'!W$7:W$83)+SUMIF('прогноз на 20.05.12'!$C$7:$C$83,$I24,'прогноз на 20.05.12'!W$7:W$83)+SUMIF('прогноз на 20.05.12'!$C$7:$C$83,$K24,'прогноз на 20.05.12'!W$7:W$83)</f>
        <v>20</v>
      </c>
      <c r="AF24" s="41">
        <f>SUMIF('прогноз на 20.05.12'!$C$7:$C$83,$C24,'прогноз на 20.05.12'!X$7:X$83)+SUMIF('прогноз на 20.05.12'!$C$7:$C$83,$E24,'прогноз на 20.05.12'!X$7:X$83)+SUMIF('прогноз на 20.05.12'!$C$7:$C$83,$G24,'прогноз на 20.05.12'!X$7:X$83)+SUMIF('прогноз на 20.05.12'!$C$7:$C$83,$I24,'прогноз на 20.05.12'!X$7:X$83)+SUMIF('прогноз на 20.05.12'!$C$7:$C$83,$K24,'прогноз на 20.05.12'!X$7:X$83)</f>
        <v>-3</v>
      </c>
      <c r="AG24" s="41">
        <f>SUMIF('прогноз на 20.05.12'!$C$7:$C$83,$C24,'прогноз на 20.05.12'!Y$7:Y$83)+SUMIF('прогноз на 20.05.12'!$C$7:$C$83,$E24,'прогноз на 20.05.12'!Y$7:Y$83)+SUMIF('прогноз на 20.05.12'!$C$7:$C$83,$G24,'прогноз на 20.05.12'!Y$7:Y$83)+SUMIF('прогноз на 20.05.12'!$C$7:$C$83,$I24,'прогноз на 20.05.12'!Y$7:Y$83)+SUMIF('прогноз на 20.05.12'!$C$7:$C$83,$K24,'прогноз на 20.05.12'!Y$7:Y$83)</f>
        <v>-6</v>
      </c>
      <c r="AH24" s="41">
        <f>SUMIF('прогноз на 20.05.12'!$C$7:$C$83,$C24,'прогноз на 20.05.12'!Z$7:Z$83)+SUMIF('прогноз на 20.05.12'!$C$7:$C$83,$E24,'прогноз на 20.05.12'!Z$7:Z$83)+SUMIF('прогноз на 20.05.12'!$C$7:$C$83,$G24,'прогноз на 20.05.12'!Z$7:Z$83)+SUMIF('прогноз на 20.05.12'!$C$7:$C$83,$I24,'прогноз на 20.05.12'!Z$7:Z$83)+SUMIF('прогноз на 20.05.12'!$C$7:$C$83,$K24,'прогноз на 20.05.12'!Z$7:Z$83)</f>
        <v>11</v>
      </c>
      <c r="AI24" s="41">
        <f>SUMIF('прогноз на 20.05.12'!$C$7:$C$83,$C24,'прогноз на 20.05.12'!AA$7:AA$83)+SUMIF('прогноз на 20.05.12'!$C$7:$C$83,$E24,'прогноз на 20.05.12'!AA$7:AA$83)+SUMIF('прогноз на 20.05.12'!$C$7:$C$83,$G24,'прогноз на 20.05.12'!AA$7:AA$83)+SUMIF('прогноз на 20.05.12'!$C$7:$C$83,$I24,'прогноз на 20.05.12'!AA$7:AA$83)+SUMIF('прогноз на 20.05.12'!$C$7:$C$83,$K24,'прогноз на 20.05.12'!AA$7:AA$83)</f>
        <v>15</v>
      </c>
      <c r="AJ24" s="41">
        <f>SUMIF('прогноз на 20.05.12'!$C$7:$C$83,$C24,'прогноз на 20.05.12'!AB$7:AB$83)+SUMIF('прогноз на 20.05.12'!$C$7:$C$83,$E24,'прогноз на 20.05.12'!AB$7:AB$83)+SUMIF('прогноз на 20.05.12'!$C$7:$C$83,$G24,'прогноз на 20.05.12'!AB$7:AB$83)+SUMIF('прогноз на 20.05.12'!$C$7:$C$83,$I24,'прогноз на 20.05.12'!AB$7:AB$83)+SUMIF('прогноз на 20.05.12'!$C$7:$C$83,$K24,'прогноз на 20.05.12'!AB$7:AB$83)</f>
        <v>0.60000000000000009</v>
      </c>
      <c r="AK24" s="41">
        <f>SUMIF('прогноз на 20.05.12'!$C$7:$C$83,$C24,'прогноз на 20.05.12'!AC$7:AC$83)+SUMIF('прогноз на 20.05.12'!$C$7:$C$83,$E24,'прогноз на 20.05.12'!AC$7:AC$83)+SUMIF('прогноз на 20.05.12'!$C$7:$C$83,$G24,'прогноз на 20.05.12'!AC$7:AC$83)+SUMIF('прогноз на 20.05.12'!$C$7:$C$83,$I24,'прогноз на 20.05.12'!AC$7:AC$83)+SUMIF('прогноз на 20.05.12'!$C$7:$C$83,$K24,'прогноз на 20.05.12'!AC$7:AC$83)</f>
        <v>1.2000000000000002</v>
      </c>
      <c r="AL24" s="41">
        <f>SUMIF('прогноз на 20.05.12'!$C$7:$C$83,$C24,'прогноз на 20.05.12'!AD$7:AD$83)+SUMIF('прогноз на 20.05.12'!$C$7:$C$83,$E24,'прогноз на 20.05.12'!AD$7:AD$83)+SUMIF('прогноз на 20.05.12'!$C$7:$C$83,$G24,'прогноз на 20.05.12'!AD$7:AD$83)+SUMIF('прогноз на 20.05.12'!$C$7:$C$83,$I24,'прогноз на 20.05.12'!AD$7:AD$83)+SUMIF('прогноз на 20.05.12'!$C$7:$C$83,$K24,'прогноз на 20.05.12'!AD$7:AD$83)</f>
        <v>16.8</v>
      </c>
      <c r="AM24" s="41">
        <f>SUMIF('прогноз на 20.05.12'!$C$7:$C$83,$C24,'прогноз на 20.05.12'!AE$7:AE$83)+SUMIF('прогноз на 20.05.12'!$C$7:$C$83,$E24,'прогноз на 20.05.12'!AE$7:AE$83)+SUMIF('прогноз на 20.05.12'!$C$7:$C$83,$G24,'прогноз на 20.05.12'!AE$7:AE$83)+SUMIF('прогноз на 20.05.12'!$C$7:$C$83,$I24,'прогноз на 20.05.12'!AE$7:AE$83)+SUMIF('прогноз на 20.05.12'!$C$7:$C$83,$K24,'прогноз на 20.05.12'!AE$7:AE$83)</f>
        <v>53</v>
      </c>
      <c r="AN24" s="41">
        <f>SUMIF('прогноз на 20.05.12'!$C$7:$C$83,$C24,'прогноз на 20.05.12'!AF$7:AF$83)+SUMIF('прогноз на 20.05.12'!$C$7:$C$83,$E24,'прогноз на 20.05.12'!AF$7:AF$83)+SUMIF('прогноз на 20.05.12'!$C$7:$C$83,$G24,'прогноз на 20.05.12'!AF$7:AF$83)+SUMIF('прогноз на 20.05.12'!$C$7:$C$83,$I24,'прогноз на 20.05.12'!AF$7:AF$83)+SUMIF('прогноз на 20.05.12'!$C$7:$C$83,$K24,'прогноз на 20.05.12'!AF$7:AF$83)</f>
        <v>73.599999999999994</v>
      </c>
      <c r="AO24" s="41">
        <f>SUMIF('прогноз на 20.05.12'!$C$7:$C$83,$C24,'прогноз на 20.05.12'!AG$7:AG$83)+SUMIF('прогноз на 20.05.12'!$C$7:$C$83,$E24,'прогноз на 20.05.12'!AG$7:AG$83)+SUMIF('прогноз на 20.05.12'!$C$7:$C$83,$G24,'прогноз на 20.05.12'!AG$7:AG$83)+SUMIF('прогноз на 20.05.12'!$C$7:$C$83,$I24,'прогноз на 20.05.12'!AG$7:AG$83)+SUMIF('прогноз на 20.05.12'!$C$7:$C$83,$K24,'прогноз на 20.05.12'!AG$7:AG$83)</f>
        <v>35.200000000000003</v>
      </c>
      <c r="AP24" s="41">
        <f>SUMIF('прогноз на 20.05.12'!$C$7:$C$83,$C24,'прогноз на 20.05.12'!AH$7:AH$83)+SUMIF('прогноз на 20.05.12'!$C$7:$C$83,$E24,'прогноз на 20.05.12'!AH$7:AH$83)+SUMIF('прогноз на 20.05.12'!$C$7:$C$83,$G24,'прогноз на 20.05.12'!AH$7:AH$83)+SUMIF('прогноз на 20.05.12'!$C$7:$C$83,$I24,'прогноз на 20.05.12'!AH$7:AH$83)+SUMIF('прогноз на 20.05.12'!$C$7:$C$83,$K24,'прогноз на 20.05.12'!AH$7:AH$83)</f>
        <v>161.80000000000001</v>
      </c>
      <c r="AQ24" s="41">
        <f>SUMIF('прогноз на 20.05.12'!$C$7:$C$83,$C24,'прогноз на 20.05.12'!AM$7:AM$83)+SUMIF('прогноз на 20.05.12'!$C$7:$C$83,$E24,'прогноз на 20.05.12'!AM$7:AM$83)+SUMIF('прогноз на 20.05.12'!$C$7:$C$83,$G24,'прогноз на 20.05.12'!AM$7:AM$83)+SUMIF('прогноз на 20.05.12'!$C$7:$C$83,$I24,'прогноз на 20.05.12'!AM$7:AM$83)+SUMIF('прогноз на 20.05.12'!$C$7:$C$83,$K24,'прогноз на 20.05.12'!AM$7:AM$83)</f>
        <v>299355</v>
      </c>
      <c r="AR24" s="41">
        <f>SUMIF('прогноз на 20.05.12'!$C$7:$C$83,$C24,'прогноз на 20.05.12'!AN$7:AN$83)+SUMIF('прогноз на 20.05.12'!$C$7:$C$83,$E24,'прогноз на 20.05.12'!AN$7:AN$83)+SUMIF('прогноз на 20.05.12'!$C$7:$C$83,$G24,'прогноз на 20.05.12'!AN$7:AN$83)+SUMIF('прогноз на 20.05.12'!$C$7:$C$83,$I24,'прогноз на 20.05.12'!AN$7:AN$83)+SUMIF('прогноз на 20.05.12'!$C$7:$C$83,$K24,'прогноз на 20.05.12'!AN$7:AN$83)</f>
        <v>20387.400000000001</v>
      </c>
      <c r="AS24" s="41">
        <f>SUMIF('прогноз на 20.05.12'!$C$7:$C$83,$C24,'прогноз на 20.05.12'!AO$7:AO$83)+SUMIF('прогноз на 20.05.12'!$C$7:$C$83,$E24,'прогноз на 20.05.12'!AO$7:AO$83)+SUMIF('прогноз на 20.05.12'!$C$7:$C$83,$G24,'прогноз на 20.05.12'!AO$7:AO$83)+SUMIF('прогноз на 20.05.12'!$C$7:$C$83,$I24,'прогноз на 20.05.12'!AO$7:AO$83)+SUMIF('прогноз на 20.05.12'!$C$7:$C$83,$K24,'прогноз на 20.05.12'!AO$7:AO$83)</f>
        <v>43544.400000000009</v>
      </c>
      <c r="AT24" s="41">
        <f>SUMIF('прогноз на 20.05.12'!$C$7:$C$83,$C24,'прогноз на 20.05.12'!AP$7:AP$83)+SUMIF('прогноз на 20.05.12'!$C$7:$C$83,$E24,'прогноз на 20.05.12'!AP$7:AP$83)+SUMIF('прогноз на 20.05.12'!$C$7:$C$83,$G24,'прогноз на 20.05.12'!AP$7:AP$83)+SUMIF('прогноз на 20.05.12'!$C$7:$C$83,$I24,'прогноз на 20.05.12'!AP$7:AP$83)+SUMIF('прогноз на 20.05.12'!$C$7:$C$83,$K24,'прогноз на 20.05.12'!AP$7:AP$83)</f>
        <v>363286.80000000005</v>
      </c>
      <c r="AU24" s="41">
        <f>SUMIF('прогноз на 20.05.12'!$C$7:$C$83,$C24,'прогноз на 20.05.12'!AU$7:AU$83)+SUMIF('прогноз на 20.05.12'!$C$7:$C$83,$E24,'прогноз на 20.05.12'!AU$7:AU$83)+SUMIF('прогноз на 20.05.12'!$C$7:$C$83,$G24,'прогноз на 20.05.12'!AU$7:AU$83)+SUMIF('прогноз на 20.05.12'!$C$7:$C$83,$I24,'прогноз на 20.05.12'!AU$7:AU$83)+SUMIF('прогноз на 20.05.12'!$C$7:$C$83,$K24,'прогноз на 20.05.12'!AU$7:AU$83)</f>
        <v>18975</v>
      </c>
      <c r="AV24" s="41">
        <f>SUMIF('прогноз на 20.05.12'!$C$7:$C$83,$C24,'прогноз на 20.05.12'!AV$7:AV$83)+SUMIF('прогноз на 20.05.12'!$C$7:$C$83,$E24,'прогноз на 20.05.12'!AV$7:AV$83)+SUMIF('прогноз на 20.05.12'!$C$7:$C$83,$G24,'прогноз на 20.05.12'!AV$7:AV$83)+SUMIF('прогноз на 20.05.12'!$C$7:$C$83,$I24,'прогноз на 20.05.12'!AV$7:AV$83)+SUMIF('прогноз на 20.05.12'!$C$7:$C$83,$K24,'прогноз на 20.05.12'!AV$7:AV$83)</f>
        <v>864.60000000000014</v>
      </c>
      <c r="AW24" s="41">
        <f>SUMIF('прогноз на 20.05.12'!$C$7:$C$83,$C24,'прогноз на 20.05.12'!AW$7:AW$83)+SUMIF('прогноз на 20.05.12'!$C$7:$C$83,$E24,'прогноз на 20.05.12'!AW$7:AW$83)+SUMIF('прогноз на 20.05.12'!$C$7:$C$83,$G24,'прогноз на 20.05.12'!AW$7:AW$83)+SUMIF('прогноз на 20.05.12'!$C$7:$C$83,$I24,'прогноз на 20.05.12'!AW$7:AW$83)+SUMIF('прогноз на 20.05.12'!$C$7:$C$83,$K24,'прогноз на 20.05.12'!AW$7:AW$83)</f>
        <v>2192.4000000000005</v>
      </c>
      <c r="AX24" s="41">
        <f>SUMIF('прогноз на 20.05.12'!$C$7:$C$83,$C24,'прогноз на 20.05.12'!AX$7:AX$83)+SUMIF('прогноз на 20.05.12'!$C$7:$C$83,$E24,'прогноз на 20.05.12'!AX$7:AX$83)+SUMIF('прогноз на 20.05.12'!$C$7:$C$83,$G24,'прогноз на 20.05.12'!AX$7:AX$83)+SUMIF('прогноз на 20.05.12'!$C$7:$C$83,$I24,'прогноз на 20.05.12'!AX$7:AX$83)+SUMIF('прогноз на 20.05.12'!$C$7:$C$83,$K24,'прогноз на 20.05.12'!AX$7:AX$83)</f>
        <v>22032</v>
      </c>
      <c r="AY24" s="41">
        <f>SUMIF('прогноз на 20.05.12'!$C$7:$C$83,$C24,'прогноз на 20.05.12'!AY$7:AY$83)+SUMIF('прогноз на 20.05.12'!$C$7:$C$83,$E24,'прогноз на 20.05.12'!AY$7:AY$83)+SUMIF('прогноз на 20.05.12'!$C$7:$C$83,$G24,'прогноз на 20.05.12'!AY$7:AY$83)+SUMIF('прогноз на 20.05.12'!$C$7:$C$83,$I24,'прогноз на 20.05.12'!AY$7:AY$83)+SUMIF('прогноз на 20.05.12'!$C$7:$C$83,$K24,'прогноз на 20.05.12'!AY$7:AY$83)</f>
        <v>318330</v>
      </c>
      <c r="AZ24" s="41">
        <f>SUMIF('прогноз на 20.05.12'!$C$7:$C$83,$C24,'прогноз на 20.05.12'!AZ$7:AZ$83)+SUMIF('прогноз на 20.05.12'!$C$7:$C$83,$E24,'прогноз на 20.05.12'!AZ$7:AZ$83)+SUMIF('прогноз на 20.05.12'!$C$7:$C$83,$G24,'прогноз на 20.05.12'!AZ$7:AZ$83)+SUMIF('прогноз на 20.05.12'!$C$7:$C$83,$I24,'прогноз на 20.05.12'!AZ$7:AZ$83)+SUMIF('прогноз на 20.05.12'!$C$7:$C$83,$K24,'прогноз на 20.05.12'!AZ$7:AZ$83)</f>
        <v>21252</v>
      </c>
      <c r="BA24" s="41">
        <f>SUMIF('прогноз на 20.05.12'!$C$7:$C$83,$C24,'прогноз на 20.05.12'!BA$7:BA$83)+SUMIF('прогноз на 20.05.12'!$C$7:$C$83,$E24,'прогноз на 20.05.12'!BA$7:BA$83)+SUMIF('прогноз на 20.05.12'!$C$7:$C$83,$G24,'прогноз на 20.05.12'!BA$7:BA$83)+SUMIF('прогноз на 20.05.12'!$C$7:$C$83,$I24,'прогноз на 20.05.12'!BA$7:BA$83)+SUMIF('прогноз на 20.05.12'!$C$7:$C$83,$K24,'прогноз на 20.05.12'!BA$7:BA$83)</f>
        <v>45736.80000000001</v>
      </c>
      <c r="BB24" s="41">
        <f>SUMIF('прогноз на 20.05.12'!$C$7:$C$83,$C24,'прогноз на 20.05.12'!BB$7:BB$83)+SUMIF('прогноз на 20.05.12'!$C$7:$C$83,$E24,'прогноз на 20.05.12'!BB$7:BB$83)+SUMIF('прогноз на 20.05.12'!$C$7:$C$83,$G24,'прогноз на 20.05.12'!BB$7:BB$83)+SUMIF('прогноз на 20.05.12'!$C$7:$C$83,$I24,'прогноз на 20.05.12'!BB$7:BB$83)+SUMIF('прогноз на 20.05.12'!$C$7:$C$83,$K24,'прогноз на 20.05.12'!BB$7:BB$83)</f>
        <v>385318.8</v>
      </c>
      <c r="BC24" s="41">
        <f>SUMIF('прогноз на 20.05.12'!$C$7:$C$83,$C24,'прогноз на 20.05.12'!BC$7:BC$83)+SUMIF('прогноз на 20.05.12'!$C$7:$C$83,$E24,'прогноз на 20.05.12'!BC$7:BC$83)+SUMIF('прогноз на 20.05.12'!$C$7:$C$83,$G24,'прогноз на 20.05.12'!BC$7:BC$83)+SUMIF('прогноз на 20.05.12'!$C$7:$C$83,$I24,'прогноз на 20.05.12'!BC$7:BC$83)+SUMIF('прогноз на 20.05.12'!$C$7:$C$83,$K24,'прогноз на 20.05.12'!BC$7:BC$83)</f>
        <v>298621</v>
      </c>
      <c r="BD24" s="41">
        <f>SUMIF('прогноз на 20.05.12'!$C$7:$C$83,$C24,'прогноз на 20.05.12'!BD$7:BD$83)+SUMIF('прогноз на 20.05.12'!$C$7:$C$83,$E24,'прогноз на 20.05.12'!BD$7:BD$83)+SUMIF('прогноз на 20.05.12'!$C$7:$C$83,$G24,'прогноз на 20.05.12'!BD$7:BD$83)+SUMIF('прогноз на 20.05.12'!$C$7:$C$83,$I24,'прогноз на 20.05.12'!BD$7:BD$83)+SUMIF('прогноз на 20.05.12'!$C$7:$C$83,$K24,'прогноз на 20.05.12'!BD$7:BD$83)</f>
        <v>588927</v>
      </c>
      <c r="BE24" s="41">
        <f>SUMIF('прогноз на 20.05.12'!$C$7:$C$83,$C24,'прогноз на 20.05.12'!BE$7:BE$83)+SUMIF('прогноз на 20.05.12'!$C$7:$C$83,$E24,'прогноз на 20.05.12'!BE$7:BE$83)+SUMIF('прогноз на 20.05.12'!$C$7:$C$83,$G24,'прогноз на 20.05.12'!BE$7:BE$83)+SUMIF('прогноз на 20.05.12'!$C$7:$C$83,$I24,'прогноз на 20.05.12'!BE$7:BE$83)+SUMIF('прогноз на 20.05.12'!$C$7:$C$83,$K24,'прогноз на 20.05.12'!BE$7:BE$83)</f>
        <v>-290306</v>
      </c>
      <c r="BF24" s="41">
        <f>SUMIF('прогноз на 20.05.12'!$C$7:$C$83,$C24,'прогноз на 20.05.12'!BF$7:BF$83)+SUMIF('прогноз на 20.05.12'!$C$7:$C$83,$E24,'прогноз на 20.05.12'!BF$7:BF$83)+SUMIF('прогноз на 20.05.12'!$C$7:$C$83,$G24,'прогноз на 20.05.12'!BF$7:BF$83)+SUMIF('прогноз на 20.05.12'!$C$7:$C$83,$I24,'прогноз на 20.05.12'!BF$7:BF$83)+SUMIF('прогноз на 20.05.12'!$C$7:$C$83,$K24,'прогноз на 20.05.12'!BF$7:BF$83)</f>
        <v>-86697.799999999988</v>
      </c>
      <c r="BG24" s="41">
        <f>SUMIF('прогноз на 20.05.12'!$C$7:$C$83,$C24,'прогноз на 20.05.12'!BG$7:BG$83)+SUMIF('прогноз на 20.05.12'!$C$7:$C$83,$E24,'прогноз на 20.05.12'!BG$7:BG$83)+SUMIF('прогноз на 20.05.12'!$C$7:$C$83,$G24,'прогноз на 20.05.12'!BG$7:BG$83)+SUMIF('прогноз на 20.05.12'!$C$7:$C$83,$I24,'прогноз на 20.05.12'!BG$7:BG$83)+SUMIF('прогноз на 20.05.12'!$C$7:$C$83,$K24,'прогноз на 20.05.12'!BG$7:BG$83)</f>
        <v>203608.2</v>
      </c>
      <c r="BH24" s="41">
        <f>SUMIF('прогноз на 20.05.12'!$C$7:$C$83,$C24,'прогноз на 20.05.12'!BH$7:BH$83)+SUMIF('прогноз на 20.05.12'!$C$7:$C$83,$E24,'прогноз на 20.05.12'!BH$7:BH$83)+SUMIF('прогноз на 20.05.12'!$C$7:$C$83,$G24,'прогноз на 20.05.12'!BH$7:BH$83)+SUMIF('прогноз на 20.05.12'!$C$7:$C$83,$I24,'прогноз на 20.05.12'!BH$7:BH$83)+SUMIF('прогноз на 20.05.12'!$C$7:$C$83,$K24,'прогноз на 20.05.12'!BH$7:BH$83)</f>
        <v>-290306</v>
      </c>
      <c r="BI24" s="90">
        <f t="shared" si="10"/>
        <v>5.4285714285714288</v>
      </c>
      <c r="BJ24" s="90">
        <f t="shared" si="11"/>
        <v>14.6</v>
      </c>
      <c r="BK24" s="90">
        <f t="shared" si="12"/>
        <v>17</v>
      </c>
      <c r="BL24" s="90">
        <f t="shared" si="13"/>
        <v>10.357142857142858</v>
      </c>
    </row>
    <row r="25" spans="1:64" s="59" customFormat="1">
      <c r="A25" s="38">
        <v>19</v>
      </c>
      <c r="B25" s="39" t="s">
        <v>63</v>
      </c>
      <c r="C25" s="40" t="s">
        <v>223</v>
      </c>
      <c r="D25" s="56" t="s">
        <v>6</v>
      </c>
      <c r="E25" s="56" t="s">
        <v>182</v>
      </c>
      <c r="F25" s="56" t="s">
        <v>11</v>
      </c>
      <c r="G25" s="56" t="s">
        <v>191</v>
      </c>
      <c r="H25" s="56" t="s">
        <v>18</v>
      </c>
      <c r="I25" s="56" t="s">
        <v>199</v>
      </c>
      <c r="J25" s="56" t="s">
        <v>24</v>
      </c>
      <c r="K25" s="56" t="s">
        <v>210</v>
      </c>
      <c r="L25" s="41">
        <f>SUMIF('прогноз на 20.05.12'!$C$7:$C$83,$C25,'прогноз на 20.05.12'!D$7:D$83)+SUMIF('прогноз на 20.05.12'!$C$7:$C$83,$E25,'прогноз на 20.05.12'!D$7:D$83)+SUMIF('прогноз на 20.05.12'!$C$7:$C$83,$G25,'прогноз на 20.05.12'!D$7:D$83)+SUMIF('прогноз на 20.05.12'!$C$7:$C$83,$I25,'прогноз на 20.05.12'!D$7:D$83)+SUMIF('прогноз на 20.05.12'!$C$7:$C$83,$K25,'прогноз на 20.05.12'!D$7:D$83)</f>
        <v>82</v>
      </c>
      <c r="M25" s="41">
        <f>SUMIF('прогноз на 20.05.12'!$C$7:$C$83,$C25,'прогноз на 20.05.12'!E$7:E$83)+SUMIF('прогноз на 20.05.12'!$C$7:$C$83,$E25,'прогноз на 20.05.12'!E$7:E$83)+SUMIF('прогноз на 20.05.12'!$C$7:$C$83,$G25,'прогноз на 20.05.12'!E$7:E$83)+SUMIF('прогноз на 20.05.12'!$C$7:$C$83,$I25,'прогноз на 20.05.12'!E$7:E$83)+SUMIF('прогноз на 20.05.12'!$C$7:$C$83,$K25,'прогноз на 20.05.12'!E$7:E$83)</f>
        <v>127</v>
      </c>
      <c r="N25" s="41">
        <f>SUMIF('прогноз на 20.05.12'!$C$7:$C$83,$C25,'прогноз на 20.05.12'!F$7:F$83)+SUMIF('прогноз на 20.05.12'!$C$7:$C$83,$E25,'прогноз на 20.05.12'!F$7:F$83)+SUMIF('прогноз на 20.05.12'!$C$7:$C$83,$G25,'прогноз на 20.05.12'!F$7:F$83)+SUMIF('прогноз на 20.05.12'!$C$7:$C$83,$I25,'прогноз на 20.05.12'!F$7:F$83)+SUMIF('прогноз на 20.05.12'!$C$7:$C$83,$K25,'прогноз на 20.05.12'!F$7:F$83)</f>
        <v>29</v>
      </c>
      <c r="O25" s="44">
        <f t="shared" si="6"/>
        <v>238</v>
      </c>
      <c r="P25" s="41">
        <f>SUMIF('прогноз на 20.05.12'!$C$7:$C$83,$C25,'прогноз на 20.05.12'!H$7:H$83)+SUMIF('прогноз на 20.05.12'!$C$7:$C$83,$E25,'прогноз на 20.05.12'!H$7:H$83)+SUMIF('прогноз на 20.05.12'!$C$7:$C$83,$G25,'прогноз на 20.05.12'!H$7:H$83)+SUMIF('прогноз на 20.05.12'!$C$7:$C$83,$I25,'прогноз на 20.05.12'!H$7:H$83)+SUMIF('прогноз на 20.05.12'!$C$7:$C$83,$K25,'прогноз на 20.05.12'!H$7:H$83)</f>
        <v>12</v>
      </c>
      <c r="Q25" s="41">
        <f>SUMIF('прогноз на 20.05.12'!$C$7:$C$83,$C25,'прогноз на 20.05.12'!I$7:I$83)+SUMIF('прогноз на 20.05.12'!$C$7:$C$83,$E25,'прогноз на 20.05.12'!I$7:I$83)+SUMIF('прогноз на 20.05.12'!$C$7:$C$83,$G25,'прогноз на 20.05.12'!I$7:I$83)+SUMIF('прогноз на 20.05.12'!$C$7:$C$83,$I25,'прогноз на 20.05.12'!I$7:I$83)+SUMIF('прогноз на 20.05.12'!$C$7:$C$83,$K25,'прогноз на 20.05.12'!I$7:I$83)</f>
        <v>7</v>
      </c>
      <c r="R25" s="41">
        <f>SUMIF('прогноз на 20.05.12'!$C$7:$C$83,$C25,'прогноз на 20.05.12'!J$7:J$83)+SUMIF('прогноз на 20.05.12'!$C$7:$C$83,$E25,'прогноз на 20.05.12'!J$7:J$83)+SUMIF('прогноз на 20.05.12'!$C$7:$C$83,$G25,'прогноз на 20.05.12'!J$7:J$83)+SUMIF('прогноз на 20.05.12'!$C$7:$C$83,$I25,'прогноз на 20.05.12'!J$7:J$83)+SUMIF('прогноз на 20.05.12'!$C$7:$C$83,$K25,'прогноз на 20.05.12'!J$7:J$83)</f>
        <v>2</v>
      </c>
      <c r="S25" s="45">
        <f t="shared" si="7"/>
        <v>21</v>
      </c>
      <c r="T25" s="41">
        <f>SUMIF('прогноз на 20.05.12'!$C$7:$C$83,$C25,'прогноз на 20.05.12'!L$7:L$83)+SUMIF('прогноз на 20.05.12'!$C$7:$C$83,$E25,'прогноз на 20.05.12'!L$7:L$83)+SUMIF('прогноз на 20.05.12'!$C$7:$C$83,$G25,'прогноз на 20.05.12'!L$7:L$83)+SUMIF('прогноз на 20.05.12'!$C$7:$C$83,$I25,'прогноз на 20.05.12'!L$7:L$83)+SUMIF('прогноз на 20.05.12'!$C$7:$C$83,$K25,'прогноз на 20.05.12'!L$7:L$83)</f>
        <v>1</v>
      </c>
      <c r="U25" s="41">
        <f>SUMIF('прогноз на 20.05.12'!$C$7:$C$83,$C25,'прогноз на 20.05.12'!M$7:M$83)+SUMIF('прогноз на 20.05.12'!$C$7:$C$83,$E25,'прогноз на 20.05.12'!M$7:M$83)+SUMIF('прогноз на 20.05.12'!$C$7:$C$83,$G25,'прогноз на 20.05.12'!M$7:M$83)+SUMIF('прогноз на 20.05.12'!$C$7:$C$83,$I25,'прогноз на 20.05.12'!M$7:M$83)+SUMIF('прогноз на 20.05.12'!$C$7:$C$83,$K25,'прогноз на 20.05.12'!M$7:M$83)</f>
        <v>2</v>
      </c>
      <c r="V25" s="41">
        <f>SUMIF('прогноз на 20.05.12'!$C$7:$C$83,$C25,'прогноз на 20.05.12'!N$7:N$83)+SUMIF('прогноз на 20.05.12'!$C$7:$C$83,$E25,'прогноз на 20.05.12'!N$7:N$83)+SUMIF('прогноз на 20.05.12'!$C$7:$C$83,$G25,'прогноз на 20.05.12'!N$7:N$83)+SUMIF('прогноз на 20.05.12'!$C$7:$C$83,$I25,'прогноз на 20.05.12'!N$7:N$83)+SUMIF('прогноз на 20.05.12'!$C$7:$C$83,$K25,'прогноз на 20.05.12'!N$7:N$83)</f>
        <v>0</v>
      </c>
      <c r="W25" s="45">
        <f t="shared" si="8"/>
        <v>3</v>
      </c>
      <c r="X25" s="41">
        <f>SUMIF('прогноз на 20.05.12'!$C$7:$C$83,$C25,'прогноз на 20.05.12'!P$7:P$83)+SUMIF('прогноз на 20.05.12'!$C$7:$C$83,$E25,'прогноз на 20.05.12'!P$7:P$83)+SUMIF('прогноз на 20.05.12'!$C$7:$C$83,$G25,'прогноз на 20.05.12'!P$7:P$83)+SUMIF('прогноз на 20.05.12'!$C$7:$C$83,$I25,'прогноз на 20.05.12'!P$7:P$83)+SUMIF('прогноз на 20.05.12'!$C$7:$C$83,$K25,'прогноз на 20.05.12'!P$7:P$83)</f>
        <v>1</v>
      </c>
      <c r="Y25" s="41">
        <f>SUMIF('прогноз на 20.05.12'!$C$7:$C$83,$C25,'прогноз на 20.05.12'!Q$7:Q$83)+SUMIF('прогноз на 20.05.12'!$C$7:$C$83,$E25,'прогноз на 20.05.12'!Q$7:Q$83)+SUMIF('прогноз на 20.05.12'!$C$7:$C$83,$G25,'прогноз на 20.05.12'!Q$7:Q$83)+SUMIF('прогноз на 20.05.12'!$C$7:$C$83,$I25,'прогноз на 20.05.12'!Q$7:Q$83)+SUMIF('прогноз на 20.05.12'!$C$7:$C$83,$K25,'прогноз на 20.05.12'!Q$7:Q$83)</f>
        <v>25</v>
      </c>
      <c r="Z25" s="45">
        <v>18</v>
      </c>
      <c r="AA25" s="41">
        <f>SUMIF('прогноз на 20.05.12'!$C$7:$C$83,$C25,'прогноз на 20.05.12'!S$7:S$83)+SUMIF('прогноз на 20.05.12'!$C$7:$C$83,$E25,'прогноз на 20.05.12'!S$7:S$83)+SUMIF('прогноз на 20.05.12'!$C$7:$C$83,$G25,'прогноз на 20.05.12'!S$7:S$83)+SUMIF('прогноз на 20.05.12'!$C$7:$C$83,$I25,'прогноз на 20.05.12'!S$7:S$83)+SUMIF('прогноз на 20.05.12'!$C$7:$C$83,$K25,'прогноз на 20.05.12'!S$7:S$83)</f>
        <v>110</v>
      </c>
      <c r="AB25" s="41">
        <f>SUMIF('прогноз на 20.05.12'!$C$7:$C$83,$C25,'прогноз на 20.05.12'!T$7:T$83)+SUMIF('прогноз на 20.05.12'!$C$7:$C$83,$E25,'прогноз на 20.05.12'!T$7:T$83)+SUMIF('прогноз на 20.05.12'!$C$7:$C$83,$G25,'прогноз на 20.05.12'!T$7:T$83)+SUMIF('прогноз на 20.05.12'!$C$7:$C$83,$I25,'прогноз на 20.05.12'!T$7:T$83)+SUMIF('прогноз на 20.05.12'!$C$7:$C$83,$K25,'прогноз на 20.05.12'!T$7:T$83)</f>
        <v>98</v>
      </c>
      <c r="AC25" s="41">
        <f>SUMIF('прогноз на 20.05.12'!$C$7:$C$83,$C25,'прогноз на 20.05.12'!U$7:U$83)+SUMIF('прогноз на 20.05.12'!$C$7:$C$83,$E25,'прогноз на 20.05.12'!U$7:U$83)+SUMIF('прогноз на 20.05.12'!$C$7:$C$83,$G25,'прогноз на 20.05.12'!U$7:U$83)+SUMIF('прогноз на 20.05.12'!$C$7:$C$83,$I25,'прогноз на 20.05.12'!U$7:U$83)+SUMIF('прогноз на 20.05.12'!$C$7:$C$83,$K25,'прогноз на 20.05.12'!U$7:U$83)</f>
        <v>28</v>
      </c>
      <c r="AD25" s="41">
        <f>SUMIF('прогноз на 20.05.12'!$C$7:$C$83,$C25,'прогноз на 20.05.12'!V$7:V$83)+SUMIF('прогноз на 20.05.12'!$C$7:$C$83,$E25,'прогноз на 20.05.12'!V$7:V$83)+SUMIF('прогноз на 20.05.12'!$C$7:$C$83,$G25,'прогноз на 20.05.12'!V$7:V$83)+SUMIF('прогноз на 20.05.12'!$C$7:$C$83,$I25,'прогноз на 20.05.12'!V$7:V$83)+SUMIF('прогноз на 20.05.12'!$C$7:$C$83,$K25,'прогноз на 20.05.12'!V$7:V$83)</f>
        <v>236</v>
      </c>
      <c r="AE25" s="41">
        <f>SUMIF('прогноз на 20.05.12'!$C$7:$C$83,$C25,'прогноз на 20.05.12'!W$7:W$83)+SUMIF('прогноз на 20.05.12'!$C$7:$C$83,$E25,'прогноз на 20.05.12'!W$7:W$83)+SUMIF('прогноз на 20.05.12'!$C$7:$C$83,$G25,'прогноз на 20.05.12'!W$7:W$83)+SUMIF('прогноз на 20.05.12'!$C$7:$C$83,$I25,'прогноз на 20.05.12'!W$7:W$83)+SUMIF('прогноз на 20.05.12'!$C$7:$C$83,$K25,'прогноз на 20.05.12'!W$7:W$83)</f>
        <v>28</v>
      </c>
      <c r="AF25" s="41">
        <f>SUMIF('прогноз на 20.05.12'!$C$7:$C$83,$C25,'прогноз на 20.05.12'!X$7:X$83)+SUMIF('прогноз на 20.05.12'!$C$7:$C$83,$E25,'прогноз на 20.05.12'!X$7:X$83)+SUMIF('прогноз на 20.05.12'!$C$7:$C$83,$G25,'прогноз на 20.05.12'!X$7:X$83)+SUMIF('прогноз на 20.05.12'!$C$7:$C$83,$I25,'прогноз на 20.05.12'!X$7:X$83)+SUMIF('прогноз на 20.05.12'!$C$7:$C$83,$K25,'прогноз на 20.05.12'!X$7:X$83)</f>
        <v>-29</v>
      </c>
      <c r="AG25" s="41">
        <f>SUMIF('прогноз на 20.05.12'!$C$7:$C$83,$C25,'прогноз на 20.05.12'!Y$7:Y$83)+SUMIF('прогноз на 20.05.12'!$C$7:$C$83,$E25,'прогноз на 20.05.12'!Y$7:Y$83)+SUMIF('прогноз на 20.05.12'!$C$7:$C$83,$G25,'прогноз на 20.05.12'!Y$7:Y$83)+SUMIF('прогноз на 20.05.12'!$C$7:$C$83,$I25,'прогноз на 20.05.12'!Y$7:Y$83)+SUMIF('прогноз на 20.05.12'!$C$7:$C$83,$K25,'прогноз на 20.05.12'!Y$7:Y$83)</f>
        <v>-1</v>
      </c>
      <c r="AH25" s="41">
        <f>SUMIF('прогноз на 20.05.12'!$C$7:$C$83,$C25,'прогноз на 20.05.12'!Z$7:Z$83)+SUMIF('прогноз на 20.05.12'!$C$7:$C$83,$E25,'прогноз на 20.05.12'!Z$7:Z$83)+SUMIF('прогноз на 20.05.12'!$C$7:$C$83,$G25,'прогноз на 20.05.12'!Z$7:Z$83)+SUMIF('прогноз на 20.05.12'!$C$7:$C$83,$I25,'прогноз на 20.05.12'!Z$7:Z$83)+SUMIF('прогноз на 20.05.12'!$C$7:$C$83,$K25,'прогноз на 20.05.12'!Z$7:Z$83)</f>
        <v>-2</v>
      </c>
      <c r="AI25" s="41">
        <f>SUMIF('прогноз на 20.05.12'!$C$7:$C$83,$C25,'прогноз на 20.05.12'!AA$7:AA$83)+SUMIF('прогноз на 20.05.12'!$C$7:$C$83,$E25,'прогноз на 20.05.12'!AA$7:AA$83)+SUMIF('прогноз на 20.05.12'!$C$7:$C$83,$G25,'прогноз на 20.05.12'!AA$7:AA$83)+SUMIF('прогноз на 20.05.12'!$C$7:$C$83,$I25,'прогноз на 20.05.12'!AA$7:AA$83)+SUMIF('прогноз на 20.05.12'!$C$7:$C$83,$K25,'прогноз на 20.05.12'!AA$7:AA$83)</f>
        <v>21</v>
      </c>
      <c r="AJ25" s="41">
        <f>SUMIF('прогноз на 20.05.12'!$C$7:$C$83,$C25,'прогноз на 20.05.12'!AB$7:AB$83)+SUMIF('прогноз на 20.05.12'!$C$7:$C$83,$E25,'прогноз на 20.05.12'!AB$7:AB$83)+SUMIF('прогноз на 20.05.12'!$C$7:$C$83,$G25,'прогноз на 20.05.12'!AB$7:AB$83)+SUMIF('прогноз на 20.05.12'!$C$7:$C$83,$I25,'прогноз на 20.05.12'!AB$7:AB$83)+SUMIF('прогноз на 20.05.12'!$C$7:$C$83,$K25,'прогноз на 20.05.12'!AB$7:AB$83)</f>
        <v>5.8000000000000007</v>
      </c>
      <c r="AK25" s="41">
        <f>SUMIF('прогноз на 20.05.12'!$C$7:$C$83,$C25,'прогноз на 20.05.12'!AC$7:AC$83)+SUMIF('прогноз на 20.05.12'!$C$7:$C$83,$E25,'прогноз на 20.05.12'!AC$7:AC$83)+SUMIF('прогноз на 20.05.12'!$C$7:$C$83,$G25,'прогноз на 20.05.12'!AC$7:AC$83)+SUMIF('прогноз на 20.05.12'!$C$7:$C$83,$I25,'прогноз на 20.05.12'!AC$7:AC$83)+SUMIF('прогноз на 20.05.12'!$C$7:$C$83,$K25,'прогноз на 20.05.12'!AC$7:AC$83)</f>
        <v>0.2</v>
      </c>
      <c r="AL25" s="41">
        <f>SUMIF('прогноз на 20.05.12'!$C$7:$C$83,$C25,'прогноз на 20.05.12'!AD$7:AD$83)+SUMIF('прогноз на 20.05.12'!$C$7:$C$83,$E25,'прогноз на 20.05.12'!AD$7:AD$83)+SUMIF('прогноз на 20.05.12'!$C$7:$C$83,$G25,'прогноз на 20.05.12'!AD$7:AD$83)+SUMIF('прогноз на 20.05.12'!$C$7:$C$83,$I25,'прогноз на 20.05.12'!AD$7:AD$83)+SUMIF('прогноз на 20.05.12'!$C$7:$C$83,$K25,'прогноз на 20.05.12'!AD$7:AD$83)</f>
        <v>27</v>
      </c>
      <c r="AM25" s="41">
        <f>SUMIF('прогноз на 20.05.12'!$C$7:$C$83,$C25,'прогноз на 20.05.12'!AE$7:AE$83)+SUMIF('прогноз на 20.05.12'!$C$7:$C$83,$E25,'прогноз на 20.05.12'!AE$7:AE$83)+SUMIF('прогноз на 20.05.12'!$C$7:$C$83,$G25,'прогноз на 20.05.12'!AE$7:AE$83)+SUMIF('прогноз на 20.05.12'!$C$7:$C$83,$I25,'прогноз на 20.05.12'!AE$7:AE$83)+SUMIF('прогноз на 20.05.12'!$C$7:$C$83,$K25,'прогноз на 20.05.12'!AE$7:AE$83)</f>
        <v>103</v>
      </c>
      <c r="AN25" s="41">
        <f>SUMIF('прогноз на 20.05.12'!$C$7:$C$83,$C25,'прогноз на 20.05.12'!AF$7:AF$83)+SUMIF('прогноз на 20.05.12'!$C$7:$C$83,$E25,'прогноз на 20.05.12'!AF$7:AF$83)+SUMIF('прогноз на 20.05.12'!$C$7:$C$83,$G25,'прогноз на 20.05.12'!AF$7:AF$83)+SUMIF('прогноз на 20.05.12'!$C$7:$C$83,$I25,'прогноз на 20.05.12'!AF$7:AF$83)+SUMIF('прогноз на 20.05.12'!$C$7:$C$83,$K25,'прогноз на 20.05.12'!AF$7:AF$83)</f>
        <v>132.80000000000001</v>
      </c>
      <c r="AO25" s="41">
        <f>SUMIF('прогноз на 20.05.12'!$C$7:$C$83,$C25,'прогноз на 20.05.12'!AG$7:AG$83)+SUMIF('прогноз на 20.05.12'!$C$7:$C$83,$E25,'прогноз на 20.05.12'!AG$7:AG$83)+SUMIF('прогноз на 20.05.12'!$C$7:$C$83,$G25,'прогноз на 20.05.12'!AG$7:AG$83)+SUMIF('прогноз на 20.05.12'!$C$7:$C$83,$I25,'прогноз на 20.05.12'!AG$7:AG$83)+SUMIF('прогноз на 20.05.12'!$C$7:$C$83,$K25,'прогноз на 20.05.12'!AG$7:AG$83)</f>
        <v>29.2</v>
      </c>
      <c r="AP25" s="41">
        <f>SUMIF('прогноз на 20.05.12'!$C$7:$C$83,$C25,'прогноз на 20.05.12'!AH$7:AH$83)+SUMIF('прогноз на 20.05.12'!$C$7:$C$83,$E25,'прогноз на 20.05.12'!AH$7:AH$83)+SUMIF('прогноз на 20.05.12'!$C$7:$C$83,$G25,'прогноз на 20.05.12'!AH$7:AH$83)+SUMIF('прогноз на 20.05.12'!$C$7:$C$83,$I25,'прогноз на 20.05.12'!AH$7:AH$83)+SUMIF('прогноз на 20.05.12'!$C$7:$C$83,$K25,'прогноз на 20.05.12'!AH$7:AH$83)</f>
        <v>265</v>
      </c>
      <c r="AQ25" s="41">
        <f>SUMIF('прогноз на 20.05.12'!$C$7:$C$83,$C25,'прогноз на 20.05.12'!AM$7:AM$83)+SUMIF('прогноз на 20.05.12'!$C$7:$C$83,$E25,'прогноз на 20.05.12'!AM$7:AM$83)+SUMIF('прогноз на 20.05.12'!$C$7:$C$83,$G25,'прогноз на 20.05.12'!AM$7:AM$83)+SUMIF('прогноз на 20.05.12'!$C$7:$C$83,$I25,'прогноз на 20.05.12'!AM$7:AM$83)+SUMIF('прогноз на 20.05.12'!$C$7:$C$83,$K25,'прогноз на 20.05.12'!AM$7:AM$83)</f>
        <v>419097</v>
      </c>
      <c r="AR25" s="41">
        <f>SUMIF('прогноз на 20.05.12'!$C$7:$C$83,$C25,'прогноз на 20.05.12'!AN$7:AN$83)+SUMIF('прогноз на 20.05.12'!$C$7:$C$83,$E25,'прогноз на 20.05.12'!AN$7:AN$83)+SUMIF('прогноз на 20.05.12'!$C$7:$C$83,$G25,'прогноз на 20.05.12'!AN$7:AN$83)+SUMIF('прогноз на 20.05.12'!$C$7:$C$83,$I25,'прогноз на 20.05.12'!AN$7:AN$83)+SUMIF('прогноз на 20.05.12'!$C$7:$C$83,$K25,'прогноз на 20.05.12'!AN$7:AN$83)</f>
        <v>197078.2</v>
      </c>
      <c r="AS25" s="41">
        <f>SUMIF('прогноз на 20.05.12'!$C$7:$C$83,$C25,'прогноз на 20.05.12'!AO$7:AO$83)+SUMIF('прогноз на 20.05.12'!$C$7:$C$83,$E25,'прогноз на 20.05.12'!AO$7:AO$83)+SUMIF('прогноз на 20.05.12'!$C$7:$C$83,$G25,'прогноз на 20.05.12'!AO$7:AO$83)+SUMIF('прогноз на 20.05.12'!$C$7:$C$83,$I25,'прогноз на 20.05.12'!AO$7:AO$83)+SUMIF('прогноз на 20.05.12'!$C$7:$C$83,$K25,'прогноз на 20.05.12'!AO$7:AO$83)</f>
        <v>7257.4000000000005</v>
      </c>
      <c r="AT25" s="41">
        <f>SUMIF('прогноз на 20.05.12'!$C$7:$C$83,$C25,'прогноз на 20.05.12'!AP$7:AP$83)+SUMIF('прогноз на 20.05.12'!$C$7:$C$83,$E25,'прогноз на 20.05.12'!AP$7:AP$83)+SUMIF('прогноз на 20.05.12'!$C$7:$C$83,$G25,'прогноз на 20.05.12'!AP$7:AP$83)+SUMIF('прогноз на 20.05.12'!$C$7:$C$83,$I25,'прогноз на 20.05.12'!AP$7:AP$83)+SUMIF('прогноз на 20.05.12'!$C$7:$C$83,$K25,'прогноз на 20.05.12'!AP$7:AP$83)</f>
        <v>623432.60000000009</v>
      </c>
      <c r="AU25" s="41">
        <f>SUMIF('прогноз на 20.05.12'!$C$7:$C$83,$C25,'прогноз на 20.05.12'!AU$7:AU$83)+SUMIF('прогноз на 20.05.12'!$C$7:$C$83,$E25,'прогноз на 20.05.12'!AU$7:AU$83)+SUMIF('прогноз на 20.05.12'!$C$7:$C$83,$G25,'прогноз на 20.05.12'!AU$7:AU$83)+SUMIF('прогноз на 20.05.12'!$C$7:$C$83,$I25,'прогноз на 20.05.12'!AU$7:AU$83)+SUMIF('прогноз на 20.05.12'!$C$7:$C$83,$K25,'прогноз на 20.05.12'!AU$7:AU$83)</f>
        <v>26565</v>
      </c>
      <c r="AV25" s="41">
        <f>SUMIF('прогноз на 20.05.12'!$C$7:$C$83,$C25,'прогноз на 20.05.12'!AV$7:AV$83)+SUMIF('прогноз на 20.05.12'!$C$7:$C$83,$E25,'прогноз на 20.05.12'!AV$7:AV$83)+SUMIF('прогноз на 20.05.12'!$C$7:$C$83,$G25,'прогноз на 20.05.12'!AV$7:AV$83)+SUMIF('прогноз на 20.05.12'!$C$7:$C$83,$I25,'прогноз на 20.05.12'!AV$7:AV$83)+SUMIF('прогноз на 20.05.12'!$C$7:$C$83,$K25,'прогноз на 20.05.12'!AV$7:AV$83)</f>
        <v>8357.8000000000011</v>
      </c>
      <c r="AW25" s="41">
        <f>SUMIF('прогноз на 20.05.12'!$C$7:$C$83,$C25,'прогноз на 20.05.12'!AW$7:AW$83)+SUMIF('прогноз на 20.05.12'!$C$7:$C$83,$E25,'прогноз на 20.05.12'!AW$7:AW$83)+SUMIF('прогноз на 20.05.12'!$C$7:$C$83,$G25,'прогноз на 20.05.12'!AW$7:AW$83)+SUMIF('прогноз на 20.05.12'!$C$7:$C$83,$I25,'прогноз на 20.05.12'!AW$7:AW$83)+SUMIF('прогноз на 20.05.12'!$C$7:$C$83,$K25,'прогноз на 20.05.12'!AW$7:AW$83)</f>
        <v>365.40000000000003</v>
      </c>
      <c r="AX25" s="41">
        <f>SUMIF('прогноз на 20.05.12'!$C$7:$C$83,$C25,'прогноз на 20.05.12'!AX$7:AX$83)+SUMIF('прогноз на 20.05.12'!$C$7:$C$83,$E25,'прогноз на 20.05.12'!AX$7:AX$83)+SUMIF('прогноз на 20.05.12'!$C$7:$C$83,$G25,'прогноз на 20.05.12'!AX$7:AX$83)+SUMIF('прогноз на 20.05.12'!$C$7:$C$83,$I25,'прогноз на 20.05.12'!AX$7:AX$83)+SUMIF('прогноз на 20.05.12'!$C$7:$C$83,$K25,'прогноз на 20.05.12'!AX$7:AX$83)</f>
        <v>35288.200000000004</v>
      </c>
      <c r="AY25" s="41">
        <f>SUMIF('прогноз на 20.05.12'!$C$7:$C$83,$C25,'прогноз на 20.05.12'!AY$7:AY$83)+SUMIF('прогноз на 20.05.12'!$C$7:$C$83,$E25,'прогноз на 20.05.12'!AY$7:AY$83)+SUMIF('прогноз на 20.05.12'!$C$7:$C$83,$G25,'прогноз на 20.05.12'!AY$7:AY$83)+SUMIF('прогноз на 20.05.12'!$C$7:$C$83,$I25,'прогноз на 20.05.12'!AY$7:AY$83)+SUMIF('прогноз на 20.05.12'!$C$7:$C$83,$K25,'прогноз на 20.05.12'!AY$7:AY$83)</f>
        <v>445662</v>
      </c>
      <c r="AZ25" s="41">
        <f>SUMIF('прогноз на 20.05.12'!$C$7:$C$83,$C25,'прогноз на 20.05.12'!AZ$7:AZ$83)+SUMIF('прогноз на 20.05.12'!$C$7:$C$83,$E25,'прогноз на 20.05.12'!AZ$7:AZ$83)+SUMIF('прогноз на 20.05.12'!$C$7:$C$83,$G25,'прогноз на 20.05.12'!AZ$7:AZ$83)+SUMIF('прогноз на 20.05.12'!$C$7:$C$83,$I25,'прогноз на 20.05.12'!AZ$7:AZ$83)+SUMIF('прогноз на 20.05.12'!$C$7:$C$83,$K25,'прогноз на 20.05.12'!AZ$7:AZ$83)</f>
        <v>205436</v>
      </c>
      <c r="BA25" s="41">
        <f>SUMIF('прогноз на 20.05.12'!$C$7:$C$83,$C25,'прогноз на 20.05.12'!BA$7:BA$83)+SUMIF('прогноз на 20.05.12'!$C$7:$C$83,$E25,'прогноз на 20.05.12'!BA$7:BA$83)+SUMIF('прогноз на 20.05.12'!$C$7:$C$83,$G25,'прогноз на 20.05.12'!BA$7:BA$83)+SUMIF('прогноз на 20.05.12'!$C$7:$C$83,$I25,'прогноз на 20.05.12'!BA$7:BA$83)+SUMIF('прогноз на 20.05.12'!$C$7:$C$83,$K25,'прогноз на 20.05.12'!BA$7:BA$83)</f>
        <v>7622.8</v>
      </c>
      <c r="BB25" s="41">
        <f>SUMIF('прогноз на 20.05.12'!$C$7:$C$83,$C25,'прогноз на 20.05.12'!BB$7:BB$83)+SUMIF('прогноз на 20.05.12'!$C$7:$C$83,$E25,'прогноз на 20.05.12'!BB$7:BB$83)+SUMIF('прогноз на 20.05.12'!$C$7:$C$83,$G25,'прогноз на 20.05.12'!BB$7:BB$83)+SUMIF('прогноз на 20.05.12'!$C$7:$C$83,$I25,'прогноз на 20.05.12'!BB$7:BB$83)+SUMIF('прогноз на 20.05.12'!$C$7:$C$83,$K25,'прогноз на 20.05.12'!BB$7:BB$83)</f>
        <v>658720.80000000005</v>
      </c>
      <c r="BC25" s="41">
        <f>SUMIF('прогноз на 20.05.12'!$C$7:$C$83,$C25,'прогноз на 20.05.12'!BC$7:BC$83)+SUMIF('прогноз на 20.05.12'!$C$7:$C$83,$E25,'прогноз на 20.05.12'!BC$7:BC$83)+SUMIF('прогноз на 20.05.12'!$C$7:$C$83,$G25,'прогноз на 20.05.12'!BC$7:BC$83)+SUMIF('прогноз на 20.05.12'!$C$7:$C$83,$I25,'прогноз на 20.05.12'!BC$7:BC$83)+SUMIF('прогноз на 20.05.12'!$C$7:$C$83,$K25,'прогноз на 20.05.12'!BC$7:BC$83)</f>
        <v>1929004</v>
      </c>
      <c r="BD25" s="41">
        <f>SUMIF('прогноз на 20.05.12'!$C$7:$C$83,$C25,'прогноз на 20.05.12'!BD$7:BD$83)+SUMIF('прогноз на 20.05.12'!$C$7:$C$83,$E25,'прогноз на 20.05.12'!BD$7:BD$83)+SUMIF('прогноз на 20.05.12'!$C$7:$C$83,$G25,'прогноз на 20.05.12'!BD$7:BD$83)+SUMIF('прогноз на 20.05.12'!$C$7:$C$83,$I25,'прогноз на 20.05.12'!BD$7:BD$83)+SUMIF('прогноз на 20.05.12'!$C$7:$C$83,$K25,'прогноз на 20.05.12'!BD$7:BD$83)</f>
        <v>1989506</v>
      </c>
      <c r="BE25" s="41">
        <f>SUMIF('прогноз на 20.05.12'!$C$7:$C$83,$C25,'прогноз на 20.05.12'!BE$7:BE$83)+SUMIF('прогноз на 20.05.12'!$C$7:$C$83,$E25,'прогноз на 20.05.12'!BE$7:BE$83)+SUMIF('прогноз на 20.05.12'!$C$7:$C$83,$G25,'прогноз на 20.05.12'!BE$7:BE$83)+SUMIF('прогноз на 20.05.12'!$C$7:$C$83,$I25,'прогноз на 20.05.12'!BE$7:BE$83)+SUMIF('прогноз на 20.05.12'!$C$7:$C$83,$K25,'прогноз на 20.05.12'!BE$7:BE$83)</f>
        <v>-60502</v>
      </c>
      <c r="BF25" s="41">
        <f>SUMIF('прогноз на 20.05.12'!$C$7:$C$83,$C25,'прогноз на 20.05.12'!BF$7:BF$83)+SUMIF('прогноз на 20.05.12'!$C$7:$C$83,$E25,'прогноз на 20.05.12'!BF$7:BF$83)+SUMIF('прогноз на 20.05.12'!$C$7:$C$83,$G25,'прогноз на 20.05.12'!BF$7:BF$83)+SUMIF('прогноз на 20.05.12'!$C$7:$C$83,$I25,'прогноз на 20.05.12'!BF$7:BF$83)+SUMIF('прогноз на 20.05.12'!$C$7:$C$83,$K25,'прогноз на 20.05.12'!BF$7:BF$83)</f>
        <v>168975</v>
      </c>
      <c r="BG25" s="41">
        <f>SUMIF('прогноз на 20.05.12'!$C$7:$C$83,$C25,'прогноз на 20.05.12'!BG$7:BG$83)+SUMIF('прогноз на 20.05.12'!$C$7:$C$83,$E25,'прогноз на 20.05.12'!BG$7:BG$83)+SUMIF('прогноз на 20.05.12'!$C$7:$C$83,$G25,'прогноз на 20.05.12'!BG$7:BG$83)+SUMIF('прогноз на 20.05.12'!$C$7:$C$83,$I25,'прогноз на 20.05.12'!BG$7:BG$83)+SUMIF('прогноз на 20.05.12'!$C$7:$C$83,$K25,'прогноз на 20.05.12'!BG$7:BG$83)</f>
        <v>229477</v>
      </c>
      <c r="BH25" s="41">
        <f>SUMIF('прогноз на 20.05.12'!$C$7:$C$83,$C25,'прогноз на 20.05.12'!BH$7:BH$83)+SUMIF('прогноз на 20.05.12'!$C$7:$C$83,$E25,'прогноз на 20.05.12'!BH$7:BH$83)+SUMIF('прогноз на 20.05.12'!$C$7:$C$83,$G25,'прогноз на 20.05.12'!BH$7:BH$83)+SUMIF('прогноз на 20.05.12'!$C$7:$C$83,$I25,'прогноз на 20.05.12'!BH$7:BH$83)+SUMIF('прогноз на 20.05.12'!$C$7:$C$83,$K25,'прогноз на 20.05.12'!BH$7:BH$83)</f>
        <v>-60502</v>
      </c>
      <c r="BI25" s="90">
        <f t="shared" si="10"/>
        <v>6.833333333333333</v>
      </c>
      <c r="BJ25" s="90">
        <f t="shared" si="11"/>
        <v>18.142857142857142</v>
      </c>
      <c r="BK25" s="90">
        <f t="shared" si="12"/>
        <v>14.5</v>
      </c>
      <c r="BL25" s="90">
        <f t="shared" si="13"/>
        <v>11.333333333333334</v>
      </c>
    </row>
    <row r="26" spans="1:64" s="59" customFormat="1" ht="18.75">
      <c r="A26" s="38">
        <v>20</v>
      </c>
      <c r="B26" s="39" t="s">
        <v>64</v>
      </c>
      <c r="C26" s="40" t="s">
        <v>224</v>
      </c>
      <c r="D26" s="56" t="s">
        <v>7</v>
      </c>
      <c r="E26" s="56" t="s">
        <v>183</v>
      </c>
      <c r="F26" s="56" t="s">
        <v>26</v>
      </c>
      <c r="G26" s="56" t="s">
        <v>218</v>
      </c>
      <c r="H26" s="58"/>
      <c r="I26" s="58"/>
      <c r="J26" s="58"/>
      <c r="K26" s="58"/>
      <c r="L26" s="41">
        <f>SUMIF('прогноз на 20.05.12'!$C$7:$C$83,$C26,'прогноз на 20.05.12'!D$7:D$83)+SUMIF('прогноз на 20.05.12'!$C$7:$C$83,$E26,'прогноз на 20.05.12'!D$7:D$83)+SUMIF('прогноз на 20.05.12'!$C$7:$C$83,$G26,'прогноз на 20.05.12'!D$7:D$83)+SUMIF('прогноз на 20.05.12'!$C$7:$C$83,$I26,'прогноз на 20.05.12'!D$7:D$83)+SUMIF('прогноз на 20.05.12'!$C$7:$C$83,$K26,'прогноз на 20.05.12'!D$7:D$83)</f>
        <v>58</v>
      </c>
      <c r="M26" s="41">
        <f>SUMIF('прогноз на 20.05.12'!$C$7:$C$83,$C26,'прогноз на 20.05.12'!E$7:E$83)+SUMIF('прогноз на 20.05.12'!$C$7:$C$83,$E26,'прогноз на 20.05.12'!E$7:E$83)+SUMIF('прогноз на 20.05.12'!$C$7:$C$83,$G26,'прогноз на 20.05.12'!E$7:E$83)+SUMIF('прогноз на 20.05.12'!$C$7:$C$83,$I26,'прогноз на 20.05.12'!E$7:E$83)+SUMIF('прогноз на 20.05.12'!$C$7:$C$83,$K26,'прогноз на 20.05.12'!E$7:E$83)</f>
        <v>109</v>
      </c>
      <c r="N26" s="41">
        <f>SUMIF('прогноз на 20.05.12'!$C$7:$C$83,$C26,'прогноз на 20.05.12'!F$7:F$83)+SUMIF('прогноз на 20.05.12'!$C$7:$C$83,$E26,'прогноз на 20.05.12'!F$7:F$83)+SUMIF('прогноз на 20.05.12'!$C$7:$C$83,$G26,'прогноз на 20.05.12'!F$7:F$83)+SUMIF('прогноз на 20.05.12'!$C$7:$C$83,$I26,'прогноз на 20.05.12'!F$7:F$83)+SUMIF('прогноз на 20.05.12'!$C$7:$C$83,$K26,'прогноз на 20.05.12'!F$7:F$83)</f>
        <v>29</v>
      </c>
      <c r="O26" s="44">
        <f t="shared" si="6"/>
        <v>196</v>
      </c>
      <c r="P26" s="41">
        <f>SUMIF('прогноз на 20.05.12'!$C$7:$C$83,$C26,'прогноз на 20.05.12'!H$7:H$83)+SUMIF('прогноз на 20.05.12'!$C$7:$C$83,$E26,'прогноз на 20.05.12'!H$7:H$83)+SUMIF('прогноз на 20.05.12'!$C$7:$C$83,$G26,'прогноз на 20.05.12'!H$7:H$83)+SUMIF('прогноз на 20.05.12'!$C$7:$C$83,$I26,'прогноз на 20.05.12'!H$7:H$83)+SUMIF('прогноз на 20.05.12'!$C$7:$C$83,$K26,'прогноз на 20.05.12'!H$7:H$83)</f>
        <v>9</v>
      </c>
      <c r="Q26" s="41">
        <f>SUMIF('прогноз на 20.05.12'!$C$7:$C$83,$C26,'прогноз на 20.05.12'!I$7:I$83)+SUMIF('прогноз на 20.05.12'!$C$7:$C$83,$E26,'прогноз на 20.05.12'!I$7:I$83)+SUMIF('прогноз на 20.05.12'!$C$7:$C$83,$G26,'прогноз на 20.05.12'!I$7:I$83)+SUMIF('прогноз на 20.05.12'!$C$7:$C$83,$I26,'прогноз на 20.05.12'!I$7:I$83)+SUMIF('прогноз на 20.05.12'!$C$7:$C$83,$K26,'прогноз на 20.05.12'!I$7:I$83)</f>
        <v>5</v>
      </c>
      <c r="R26" s="41">
        <f>SUMIF('прогноз на 20.05.12'!$C$7:$C$83,$C26,'прогноз на 20.05.12'!J$7:J$83)+SUMIF('прогноз на 20.05.12'!$C$7:$C$83,$E26,'прогноз на 20.05.12'!J$7:J$83)+SUMIF('прогноз на 20.05.12'!$C$7:$C$83,$G26,'прогноз на 20.05.12'!J$7:J$83)+SUMIF('прогноз на 20.05.12'!$C$7:$C$83,$I26,'прогноз на 20.05.12'!J$7:J$83)+SUMIF('прогноз на 20.05.12'!$C$7:$C$83,$K26,'прогноз на 20.05.12'!J$7:J$83)</f>
        <v>2</v>
      </c>
      <c r="S26" s="45">
        <f t="shared" si="7"/>
        <v>16</v>
      </c>
      <c r="T26" s="41">
        <f>SUMIF('прогноз на 20.05.12'!$C$7:$C$83,$C26,'прогноз на 20.05.12'!L$7:L$83)+SUMIF('прогноз на 20.05.12'!$C$7:$C$83,$E26,'прогноз на 20.05.12'!L$7:L$83)+SUMIF('прогноз на 20.05.12'!$C$7:$C$83,$G26,'прогноз на 20.05.12'!L$7:L$83)+SUMIF('прогноз на 20.05.12'!$C$7:$C$83,$I26,'прогноз на 20.05.12'!L$7:L$83)+SUMIF('прогноз на 20.05.12'!$C$7:$C$83,$K26,'прогноз на 20.05.12'!L$7:L$83)</f>
        <v>0</v>
      </c>
      <c r="U26" s="41">
        <f>SUMIF('прогноз на 20.05.12'!$C$7:$C$83,$C26,'прогноз на 20.05.12'!M$7:M$83)+SUMIF('прогноз на 20.05.12'!$C$7:$C$83,$E26,'прогноз на 20.05.12'!M$7:M$83)+SUMIF('прогноз на 20.05.12'!$C$7:$C$83,$G26,'прогноз на 20.05.12'!M$7:M$83)+SUMIF('прогноз на 20.05.12'!$C$7:$C$83,$I26,'прогноз на 20.05.12'!M$7:M$83)+SUMIF('прогноз на 20.05.12'!$C$7:$C$83,$K26,'прогноз на 20.05.12'!M$7:M$83)</f>
        <v>0</v>
      </c>
      <c r="V26" s="41">
        <f>SUMIF('прогноз на 20.05.12'!$C$7:$C$83,$C26,'прогноз на 20.05.12'!N$7:N$83)+SUMIF('прогноз на 20.05.12'!$C$7:$C$83,$E26,'прогноз на 20.05.12'!N$7:N$83)+SUMIF('прогноз на 20.05.12'!$C$7:$C$83,$G26,'прогноз на 20.05.12'!N$7:N$83)+SUMIF('прогноз на 20.05.12'!$C$7:$C$83,$I26,'прогноз на 20.05.12'!N$7:N$83)+SUMIF('прогноз на 20.05.12'!$C$7:$C$83,$K26,'прогноз на 20.05.12'!N$7:N$83)</f>
        <v>0</v>
      </c>
      <c r="W26" s="45">
        <f t="shared" si="8"/>
        <v>0</v>
      </c>
      <c r="X26" s="41">
        <f>SUMIF('прогноз на 20.05.12'!$C$7:$C$83,$C26,'прогноз на 20.05.12'!P$7:P$83)+SUMIF('прогноз на 20.05.12'!$C$7:$C$83,$E26,'прогноз на 20.05.12'!P$7:P$83)+SUMIF('прогноз на 20.05.12'!$C$7:$C$83,$G26,'прогноз на 20.05.12'!P$7:P$83)+SUMIF('прогноз на 20.05.12'!$C$7:$C$83,$I26,'прогноз на 20.05.12'!P$7:P$83)+SUMIF('прогноз на 20.05.12'!$C$7:$C$83,$K26,'прогноз на 20.05.12'!P$7:P$83)</f>
        <v>1</v>
      </c>
      <c r="Y26" s="41">
        <f>SUMIF('прогноз на 20.05.12'!$C$7:$C$83,$C26,'прогноз на 20.05.12'!Q$7:Q$83)+SUMIF('прогноз на 20.05.12'!$C$7:$C$83,$E26,'прогноз на 20.05.12'!Q$7:Q$83)+SUMIF('прогноз на 20.05.12'!$C$7:$C$83,$G26,'прогноз на 20.05.12'!Q$7:Q$83)+SUMIF('прогноз на 20.05.12'!$C$7:$C$83,$I26,'прогноз на 20.05.12'!Q$7:Q$83)+SUMIF('прогноз на 20.05.12'!$C$7:$C$83,$K26,'прогноз на 20.05.12'!Q$7:Q$83)</f>
        <v>29</v>
      </c>
      <c r="Z26" s="45"/>
      <c r="AA26" s="41">
        <f>SUMIF('прогноз на 20.05.12'!$C$7:$C$83,$C26,'прогноз на 20.05.12'!S$7:S$83)+SUMIF('прогноз на 20.05.12'!$C$7:$C$83,$E26,'прогноз на 20.05.12'!S$7:S$83)+SUMIF('прогноз на 20.05.12'!$C$7:$C$83,$G26,'прогноз на 20.05.12'!S$7:S$83)+SUMIF('прогноз на 20.05.12'!$C$7:$C$83,$I26,'прогноз на 20.05.12'!S$7:S$83)+SUMIF('прогноз на 20.05.12'!$C$7:$C$83,$K26,'прогноз на 20.05.12'!S$7:S$83)</f>
        <v>84</v>
      </c>
      <c r="AB26" s="41">
        <f>SUMIF('прогноз на 20.05.12'!$C$7:$C$83,$C26,'прогноз на 20.05.12'!T$7:T$83)+SUMIF('прогноз на 20.05.12'!$C$7:$C$83,$E26,'прогноз на 20.05.12'!T$7:T$83)+SUMIF('прогноз на 20.05.12'!$C$7:$C$83,$G26,'прогноз на 20.05.12'!T$7:T$83)+SUMIF('прогноз на 20.05.12'!$C$7:$C$83,$I26,'прогноз на 20.05.12'!T$7:T$83)+SUMIF('прогноз на 20.05.12'!$C$7:$C$83,$K26,'прогноз на 20.05.12'!T$7:T$83)</f>
        <v>70</v>
      </c>
      <c r="AC26" s="41">
        <f>SUMIF('прогноз на 20.05.12'!$C$7:$C$83,$C26,'прогноз на 20.05.12'!U$7:U$83)+SUMIF('прогноз на 20.05.12'!$C$7:$C$83,$E26,'прогноз на 20.05.12'!U$7:U$83)+SUMIF('прогноз на 20.05.12'!$C$7:$C$83,$G26,'прогноз на 20.05.12'!U$7:U$83)+SUMIF('прогноз на 20.05.12'!$C$7:$C$83,$I26,'прогноз на 20.05.12'!U$7:U$83)+SUMIF('прогноз на 20.05.12'!$C$7:$C$83,$K26,'прогноз на 20.05.12'!U$7:U$83)</f>
        <v>28</v>
      </c>
      <c r="AD26" s="41">
        <f>SUMIF('прогноз на 20.05.12'!$C$7:$C$83,$C26,'прогноз на 20.05.12'!V$7:V$83)+SUMIF('прогноз на 20.05.12'!$C$7:$C$83,$E26,'прогноз на 20.05.12'!V$7:V$83)+SUMIF('прогноз на 20.05.12'!$C$7:$C$83,$G26,'прогноз на 20.05.12'!V$7:V$83)+SUMIF('прогноз на 20.05.12'!$C$7:$C$83,$I26,'прогноз на 20.05.12'!V$7:V$83)+SUMIF('прогноз на 20.05.12'!$C$7:$C$83,$K26,'прогноз на 20.05.12'!V$7:V$83)</f>
        <v>182</v>
      </c>
      <c r="AE26" s="41">
        <f>SUMIF('прогноз на 20.05.12'!$C$7:$C$83,$C26,'прогноз на 20.05.12'!W$7:W$83)+SUMIF('прогноз на 20.05.12'!$C$7:$C$83,$E26,'прогноз на 20.05.12'!W$7:W$83)+SUMIF('прогноз на 20.05.12'!$C$7:$C$83,$G26,'прогноз на 20.05.12'!W$7:W$83)+SUMIF('прогноз на 20.05.12'!$C$7:$C$83,$I26,'прогноз на 20.05.12'!W$7:W$83)+SUMIF('прогноз на 20.05.12'!$C$7:$C$83,$K26,'прогноз на 20.05.12'!W$7:W$83)</f>
        <v>26</v>
      </c>
      <c r="AF26" s="41">
        <f>SUMIF('прогноз на 20.05.12'!$C$7:$C$83,$C26,'прогноз на 20.05.12'!X$7:X$83)+SUMIF('прогноз на 20.05.12'!$C$7:$C$83,$E26,'прогноз на 20.05.12'!X$7:X$83)+SUMIF('прогноз на 20.05.12'!$C$7:$C$83,$G26,'прогноз на 20.05.12'!X$7:X$83)+SUMIF('прогноз на 20.05.12'!$C$7:$C$83,$I26,'прогноз на 20.05.12'!X$7:X$83)+SUMIF('прогноз на 20.05.12'!$C$7:$C$83,$K26,'прогноз на 20.05.12'!X$7:X$83)</f>
        <v>-39</v>
      </c>
      <c r="AG26" s="41">
        <f>SUMIF('прогноз на 20.05.12'!$C$7:$C$83,$C26,'прогноз на 20.05.12'!Y$7:Y$83)+SUMIF('прогноз на 20.05.12'!$C$7:$C$83,$E26,'прогноз на 20.05.12'!Y$7:Y$83)+SUMIF('прогноз на 20.05.12'!$C$7:$C$83,$G26,'прогноз на 20.05.12'!Y$7:Y$83)+SUMIF('прогноз на 20.05.12'!$C$7:$C$83,$I26,'прогноз на 20.05.12'!Y$7:Y$83)+SUMIF('прогноз на 20.05.12'!$C$7:$C$83,$K26,'прогноз на 20.05.12'!Y$7:Y$83)</f>
        <v>-1</v>
      </c>
      <c r="AH26" s="41">
        <f>SUMIF('прогноз на 20.05.12'!$C$7:$C$83,$C26,'прогноз на 20.05.12'!Z$7:Z$83)+SUMIF('прогноз на 20.05.12'!$C$7:$C$83,$E26,'прогноз на 20.05.12'!Z$7:Z$83)+SUMIF('прогноз на 20.05.12'!$C$7:$C$83,$G26,'прогноз на 20.05.12'!Z$7:Z$83)+SUMIF('прогноз на 20.05.12'!$C$7:$C$83,$I26,'прогноз на 20.05.12'!Z$7:Z$83)+SUMIF('прогноз на 20.05.12'!$C$7:$C$83,$K26,'прогноз на 20.05.12'!Z$7:Z$83)</f>
        <v>-14</v>
      </c>
      <c r="AI26" s="41">
        <f>SUMIF('прогноз на 20.05.12'!$C$7:$C$83,$C26,'прогноз на 20.05.12'!AA$7:AA$83)+SUMIF('прогноз на 20.05.12'!$C$7:$C$83,$E26,'прогноз на 20.05.12'!AA$7:AA$83)+SUMIF('прогноз на 20.05.12'!$C$7:$C$83,$G26,'прогноз на 20.05.12'!AA$7:AA$83)+SUMIF('прогноз на 20.05.12'!$C$7:$C$83,$I26,'прогноз на 20.05.12'!AA$7:AA$83)+SUMIF('прогноз на 20.05.12'!$C$7:$C$83,$K26,'прогноз на 20.05.12'!AA$7:AA$83)</f>
        <v>19.5</v>
      </c>
      <c r="AJ26" s="41">
        <f>SUMIF('прогноз на 20.05.12'!$C$7:$C$83,$C26,'прогноз на 20.05.12'!AB$7:AB$83)+SUMIF('прогноз на 20.05.12'!$C$7:$C$83,$E26,'прогноз на 20.05.12'!AB$7:AB$83)+SUMIF('прогноз на 20.05.12'!$C$7:$C$83,$G26,'прогноз на 20.05.12'!AB$7:AB$83)+SUMIF('прогноз на 20.05.12'!$C$7:$C$83,$I26,'прогноз на 20.05.12'!AB$7:AB$83)+SUMIF('прогноз на 20.05.12'!$C$7:$C$83,$K26,'прогноз на 20.05.12'!AB$7:AB$83)</f>
        <v>7.8000000000000007</v>
      </c>
      <c r="AK26" s="41">
        <f>SUMIF('прогноз на 20.05.12'!$C$7:$C$83,$C26,'прогноз на 20.05.12'!AC$7:AC$83)+SUMIF('прогноз на 20.05.12'!$C$7:$C$83,$E26,'прогноз на 20.05.12'!AC$7:AC$83)+SUMIF('прогноз на 20.05.12'!$C$7:$C$83,$G26,'прогноз на 20.05.12'!AC$7:AC$83)+SUMIF('прогноз на 20.05.12'!$C$7:$C$83,$I26,'прогноз на 20.05.12'!AC$7:AC$83)+SUMIF('прогноз на 20.05.12'!$C$7:$C$83,$K26,'прогноз на 20.05.12'!AC$7:AC$83)</f>
        <v>0.2</v>
      </c>
      <c r="AL26" s="41">
        <f>SUMIF('прогноз на 20.05.12'!$C$7:$C$83,$C26,'прогноз на 20.05.12'!AD$7:AD$83)+SUMIF('прогноз на 20.05.12'!$C$7:$C$83,$E26,'прогноз на 20.05.12'!AD$7:AD$83)+SUMIF('прогноз на 20.05.12'!$C$7:$C$83,$G26,'прогноз на 20.05.12'!AD$7:AD$83)+SUMIF('прогноз на 20.05.12'!$C$7:$C$83,$I26,'прогноз на 20.05.12'!AD$7:AD$83)+SUMIF('прогноз на 20.05.12'!$C$7:$C$83,$K26,'прогноз на 20.05.12'!AD$7:AD$83)</f>
        <v>27.5</v>
      </c>
      <c r="AM26" s="41">
        <f>SUMIF('прогноз на 20.05.12'!$C$7:$C$83,$C26,'прогноз на 20.05.12'!AE$7:AE$83)+SUMIF('прогноз на 20.05.12'!$C$7:$C$83,$E26,'прогноз на 20.05.12'!AE$7:AE$83)+SUMIF('прогноз на 20.05.12'!$C$7:$C$83,$G26,'прогноз на 20.05.12'!AE$7:AE$83)+SUMIF('прогноз на 20.05.12'!$C$7:$C$83,$I26,'прогноз на 20.05.12'!AE$7:AE$83)+SUMIF('прогноз на 20.05.12'!$C$7:$C$83,$K26,'прогноз на 20.05.12'!AE$7:AE$83)</f>
        <v>77.5</v>
      </c>
      <c r="AN26" s="41">
        <f>SUMIF('прогноз на 20.05.12'!$C$7:$C$83,$C26,'прогноз на 20.05.12'!AF$7:AF$83)+SUMIF('прогноз на 20.05.12'!$C$7:$C$83,$E26,'прогноз на 20.05.12'!AF$7:AF$83)+SUMIF('прогноз на 20.05.12'!$C$7:$C$83,$G26,'прогноз на 20.05.12'!AF$7:AF$83)+SUMIF('прогноз на 20.05.12'!$C$7:$C$83,$I26,'прогноз на 20.05.12'!AF$7:AF$83)+SUMIF('прогноз на 20.05.12'!$C$7:$C$83,$K26,'прогноз на 20.05.12'!AF$7:AF$83)</f>
        <v>116.8</v>
      </c>
      <c r="AO26" s="41">
        <f>SUMIF('прогноз на 20.05.12'!$C$7:$C$83,$C26,'прогноз на 20.05.12'!AG$7:AG$83)+SUMIF('прогноз на 20.05.12'!$C$7:$C$83,$E26,'прогноз на 20.05.12'!AG$7:AG$83)+SUMIF('прогноз на 20.05.12'!$C$7:$C$83,$G26,'прогноз на 20.05.12'!AG$7:AG$83)+SUMIF('прогноз на 20.05.12'!$C$7:$C$83,$I26,'прогноз на 20.05.12'!AG$7:AG$83)+SUMIF('прогноз на 20.05.12'!$C$7:$C$83,$K26,'прогноз на 20.05.12'!AG$7:AG$83)</f>
        <v>29.2</v>
      </c>
      <c r="AP26" s="41">
        <f>SUMIF('прогноз на 20.05.12'!$C$7:$C$83,$C26,'прогноз на 20.05.12'!AH$7:AH$83)+SUMIF('прогноз на 20.05.12'!$C$7:$C$83,$E26,'прогноз на 20.05.12'!AH$7:AH$83)+SUMIF('прогноз на 20.05.12'!$C$7:$C$83,$G26,'прогноз на 20.05.12'!AH$7:AH$83)+SUMIF('прогноз на 20.05.12'!$C$7:$C$83,$I26,'прогноз на 20.05.12'!AH$7:AH$83)+SUMIF('прогноз на 20.05.12'!$C$7:$C$83,$K26,'прогноз на 20.05.12'!AH$7:AH$83)</f>
        <v>223.5</v>
      </c>
      <c r="AQ26" s="41">
        <f>SUMIF('прогноз на 20.05.12'!$C$7:$C$83,$C26,'прогноз на 20.05.12'!AM$7:AM$83)+SUMIF('прогноз на 20.05.12'!$C$7:$C$83,$E26,'прогноз на 20.05.12'!AM$7:AM$83)+SUMIF('прогноз на 20.05.12'!$C$7:$C$83,$G26,'прогноз на 20.05.12'!AM$7:AM$83)+SUMIF('прогноз на 20.05.12'!$C$7:$C$83,$I26,'прогноз на 20.05.12'!AM$7:AM$83)+SUMIF('прогноз на 20.05.12'!$C$7:$C$83,$K26,'прогноз на 20.05.12'!AM$7:AM$83)</f>
        <v>389161.5</v>
      </c>
      <c r="AR26" s="41">
        <f>SUMIF('прогноз на 20.05.12'!$C$7:$C$83,$C26,'прогноз на 20.05.12'!AN$7:AN$83)+SUMIF('прогноз на 20.05.12'!$C$7:$C$83,$E26,'прогноз на 20.05.12'!AN$7:AN$83)+SUMIF('прогноз на 20.05.12'!$C$7:$C$83,$G26,'прогноз на 20.05.12'!AN$7:AN$83)+SUMIF('прогноз на 20.05.12'!$C$7:$C$83,$I26,'прогноз на 20.05.12'!AN$7:AN$83)+SUMIF('прогноз на 20.05.12'!$C$7:$C$83,$K26,'прогноз на 20.05.12'!AN$7:AN$83)</f>
        <v>265036.2</v>
      </c>
      <c r="AS26" s="41">
        <f>SUMIF('прогноз на 20.05.12'!$C$7:$C$83,$C26,'прогноз на 20.05.12'!AO$7:AO$83)+SUMIF('прогноз на 20.05.12'!$C$7:$C$83,$E26,'прогноз на 20.05.12'!AO$7:AO$83)+SUMIF('прогноз на 20.05.12'!$C$7:$C$83,$G26,'прогноз на 20.05.12'!AO$7:AO$83)+SUMIF('прогноз на 20.05.12'!$C$7:$C$83,$I26,'прогноз на 20.05.12'!AO$7:AO$83)+SUMIF('прогноз на 20.05.12'!$C$7:$C$83,$K26,'прогноз на 20.05.12'!AO$7:AO$83)</f>
        <v>7257.4000000000005</v>
      </c>
      <c r="AT26" s="41">
        <f>SUMIF('прогноз на 20.05.12'!$C$7:$C$83,$C26,'прогноз на 20.05.12'!AP$7:AP$83)+SUMIF('прогноз на 20.05.12'!$C$7:$C$83,$E26,'прогноз на 20.05.12'!AP$7:AP$83)+SUMIF('прогноз на 20.05.12'!$C$7:$C$83,$G26,'прогноз на 20.05.12'!AP$7:AP$83)+SUMIF('прогноз на 20.05.12'!$C$7:$C$83,$I26,'прогноз на 20.05.12'!AP$7:AP$83)+SUMIF('прогноз на 20.05.12'!$C$7:$C$83,$K26,'прогноз на 20.05.12'!AP$7:AP$83)</f>
        <v>661455.1</v>
      </c>
      <c r="AU26" s="41">
        <f>SUMIF('прогноз на 20.05.12'!$C$7:$C$83,$C26,'прогноз на 20.05.12'!AU$7:AU$83)+SUMIF('прогноз на 20.05.12'!$C$7:$C$83,$E26,'прогноз на 20.05.12'!AU$7:AU$83)+SUMIF('прогноз на 20.05.12'!$C$7:$C$83,$G26,'прогноз на 20.05.12'!AU$7:AU$83)+SUMIF('прогноз на 20.05.12'!$C$7:$C$83,$I26,'прогноз на 20.05.12'!AU$7:AU$83)+SUMIF('прогноз на 20.05.12'!$C$7:$C$83,$K26,'прогноз на 20.05.12'!AU$7:AU$83)</f>
        <v>24667.5</v>
      </c>
      <c r="AV26" s="41">
        <f>SUMIF('прогноз на 20.05.12'!$C$7:$C$83,$C26,'прогноз на 20.05.12'!AV$7:AV$83)+SUMIF('прогноз на 20.05.12'!$C$7:$C$83,$E26,'прогноз на 20.05.12'!AV$7:AV$83)+SUMIF('прогноз на 20.05.12'!$C$7:$C$83,$G26,'прогноз на 20.05.12'!AV$7:AV$83)+SUMIF('прогноз на 20.05.12'!$C$7:$C$83,$I26,'прогноз на 20.05.12'!AV$7:AV$83)+SUMIF('прогноз на 20.05.12'!$C$7:$C$83,$K26,'прогноз на 20.05.12'!AV$7:AV$83)</f>
        <v>11239.800000000001</v>
      </c>
      <c r="AW26" s="41">
        <f>SUMIF('прогноз на 20.05.12'!$C$7:$C$83,$C26,'прогноз на 20.05.12'!AW$7:AW$83)+SUMIF('прогноз на 20.05.12'!$C$7:$C$83,$E26,'прогноз на 20.05.12'!AW$7:AW$83)+SUMIF('прогноз на 20.05.12'!$C$7:$C$83,$G26,'прогноз на 20.05.12'!AW$7:AW$83)+SUMIF('прогноз на 20.05.12'!$C$7:$C$83,$I26,'прогноз на 20.05.12'!AW$7:AW$83)+SUMIF('прогноз на 20.05.12'!$C$7:$C$83,$K26,'прогноз на 20.05.12'!AW$7:AW$83)</f>
        <v>365.40000000000003</v>
      </c>
      <c r="AX26" s="41">
        <f>SUMIF('прогноз на 20.05.12'!$C$7:$C$83,$C26,'прогноз на 20.05.12'!AX$7:AX$83)+SUMIF('прогноз на 20.05.12'!$C$7:$C$83,$E26,'прогноз на 20.05.12'!AX$7:AX$83)+SUMIF('прогноз на 20.05.12'!$C$7:$C$83,$G26,'прогноз на 20.05.12'!AX$7:AX$83)+SUMIF('прогноз на 20.05.12'!$C$7:$C$83,$I26,'прогноз на 20.05.12'!AX$7:AX$83)+SUMIF('прогноз на 20.05.12'!$C$7:$C$83,$K26,'прогноз на 20.05.12'!AX$7:AX$83)</f>
        <v>36272.700000000004</v>
      </c>
      <c r="AY26" s="41">
        <f>SUMIF('прогноз на 20.05.12'!$C$7:$C$83,$C26,'прогноз на 20.05.12'!AY$7:AY$83)+SUMIF('прогноз на 20.05.12'!$C$7:$C$83,$E26,'прогноз на 20.05.12'!AY$7:AY$83)+SUMIF('прогноз на 20.05.12'!$C$7:$C$83,$G26,'прогноз на 20.05.12'!AY$7:AY$83)+SUMIF('прогноз на 20.05.12'!$C$7:$C$83,$I26,'прогноз на 20.05.12'!AY$7:AY$83)+SUMIF('прогноз на 20.05.12'!$C$7:$C$83,$K26,'прогноз на 20.05.12'!AY$7:AY$83)</f>
        <v>413829</v>
      </c>
      <c r="AZ26" s="41">
        <f>SUMIF('прогноз на 20.05.12'!$C$7:$C$83,$C26,'прогноз на 20.05.12'!AZ$7:AZ$83)+SUMIF('прогноз на 20.05.12'!$C$7:$C$83,$E26,'прогноз на 20.05.12'!AZ$7:AZ$83)+SUMIF('прогноз на 20.05.12'!$C$7:$C$83,$G26,'прогноз на 20.05.12'!AZ$7:AZ$83)+SUMIF('прогноз на 20.05.12'!$C$7:$C$83,$I26,'прогноз на 20.05.12'!AZ$7:AZ$83)+SUMIF('прогноз на 20.05.12'!$C$7:$C$83,$K26,'прогноз на 20.05.12'!AZ$7:AZ$83)</f>
        <v>276276</v>
      </c>
      <c r="BA26" s="41">
        <f>SUMIF('прогноз на 20.05.12'!$C$7:$C$83,$C26,'прогноз на 20.05.12'!BA$7:BA$83)+SUMIF('прогноз на 20.05.12'!$C$7:$C$83,$E26,'прогноз на 20.05.12'!BA$7:BA$83)+SUMIF('прогноз на 20.05.12'!$C$7:$C$83,$G26,'прогноз на 20.05.12'!BA$7:BA$83)+SUMIF('прогноз на 20.05.12'!$C$7:$C$83,$I26,'прогноз на 20.05.12'!BA$7:BA$83)+SUMIF('прогноз на 20.05.12'!$C$7:$C$83,$K26,'прогноз на 20.05.12'!BA$7:BA$83)</f>
        <v>7622.8</v>
      </c>
      <c r="BB26" s="41">
        <f>SUMIF('прогноз на 20.05.12'!$C$7:$C$83,$C26,'прогноз на 20.05.12'!BB$7:BB$83)+SUMIF('прогноз на 20.05.12'!$C$7:$C$83,$E26,'прогноз на 20.05.12'!BB$7:BB$83)+SUMIF('прогноз на 20.05.12'!$C$7:$C$83,$G26,'прогноз на 20.05.12'!BB$7:BB$83)+SUMIF('прогноз на 20.05.12'!$C$7:$C$83,$I26,'прогноз на 20.05.12'!BB$7:BB$83)+SUMIF('прогноз на 20.05.12'!$C$7:$C$83,$K26,'прогноз на 20.05.12'!BB$7:BB$83)</f>
        <v>697727.8</v>
      </c>
      <c r="BC26" s="41">
        <f>SUMIF('прогноз на 20.05.12'!$C$7:$C$83,$C26,'прогноз на 20.05.12'!BC$7:BC$83)+SUMIF('прогноз на 20.05.12'!$C$7:$C$83,$E26,'прогноз на 20.05.12'!BC$7:BC$83)+SUMIF('прогноз на 20.05.12'!$C$7:$C$83,$G26,'прогноз на 20.05.12'!BC$7:BC$83)+SUMIF('прогноз на 20.05.12'!$C$7:$C$83,$I26,'прогноз на 20.05.12'!BC$7:BC$83)+SUMIF('прогноз на 20.05.12'!$C$7:$C$83,$K26,'прогноз на 20.05.12'!BC$7:BC$83)</f>
        <v>599759</v>
      </c>
      <c r="BD26" s="41">
        <f>SUMIF('прогноз на 20.05.12'!$C$7:$C$83,$C26,'прогноз на 20.05.12'!BD$7:BD$83)+SUMIF('прогноз на 20.05.12'!$C$7:$C$83,$E26,'прогноз на 20.05.12'!BD$7:BD$83)+SUMIF('прогноз на 20.05.12'!$C$7:$C$83,$G26,'прогноз на 20.05.12'!BD$7:BD$83)+SUMIF('прогноз на 20.05.12'!$C$7:$C$83,$I26,'прогноз на 20.05.12'!BD$7:BD$83)+SUMIF('прогноз на 20.05.12'!$C$7:$C$83,$K26,'прогноз на 20.05.12'!BD$7:BD$83)</f>
        <v>599759</v>
      </c>
      <c r="BE26" s="41">
        <f>SUMIF('прогноз на 20.05.12'!$C$7:$C$83,$C26,'прогноз на 20.05.12'!BE$7:BE$83)+SUMIF('прогноз на 20.05.12'!$C$7:$C$83,$E26,'прогноз на 20.05.12'!BE$7:BE$83)+SUMIF('прогноз на 20.05.12'!$C$7:$C$83,$G26,'прогноз на 20.05.12'!BE$7:BE$83)+SUMIF('прогноз на 20.05.12'!$C$7:$C$83,$I26,'прогноз на 20.05.12'!BE$7:BE$83)+SUMIF('прогноз на 20.05.12'!$C$7:$C$83,$K26,'прогноз на 20.05.12'!BE$7:BE$83)</f>
        <v>0</v>
      </c>
      <c r="BF26" s="41">
        <f>SUMIF('прогноз на 20.05.12'!$C$7:$C$83,$C26,'прогноз на 20.05.12'!BF$7:BF$83)+SUMIF('прогноз на 20.05.12'!$C$7:$C$83,$E26,'прогноз на 20.05.12'!BF$7:BF$83)+SUMIF('прогноз на 20.05.12'!$C$7:$C$83,$G26,'прогноз на 20.05.12'!BF$7:BF$83)+SUMIF('прогноз на 20.05.12'!$C$7:$C$83,$I26,'прогноз на 20.05.12'!BF$7:BF$83)+SUMIF('прогноз на 20.05.12'!$C$7:$C$83,$K26,'прогноз на 20.05.12'!BF$7:BF$83)</f>
        <v>-97968.800000000047</v>
      </c>
      <c r="BG26" s="41">
        <f>SUMIF('прогноз на 20.05.12'!$C$7:$C$83,$C26,'прогноз на 20.05.12'!BG$7:BG$83)+SUMIF('прогноз на 20.05.12'!$C$7:$C$83,$E26,'прогноз на 20.05.12'!BG$7:BG$83)+SUMIF('прогноз на 20.05.12'!$C$7:$C$83,$G26,'прогноз на 20.05.12'!BG$7:BG$83)+SUMIF('прогноз на 20.05.12'!$C$7:$C$83,$I26,'прогноз на 20.05.12'!BG$7:BG$83)+SUMIF('прогноз на 20.05.12'!$C$7:$C$83,$K26,'прогноз на 20.05.12'!BG$7:BG$83)</f>
        <v>173145</v>
      </c>
      <c r="BH26" s="41">
        <f>SUMIF('прогноз на 20.05.12'!$C$7:$C$83,$C26,'прогноз на 20.05.12'!BH$7:BH$83)+SUMIF('прогноз на 20.05.12'!$C$7:$C$83,$E26,'прогноз на 20.05.12'!BH$7:BH$83)+SUMIF('прогноз на 20.05.12'!$C$7:$C$83,$G26,'прогноз на 20.05.12'!BH$7:BH$83)+SUMIF('прогноз на 20.05.12'!$C$7:$C$83,$I26,'прогноз на 20.05.12'!BH$7:BH$83)+SUMIF('прогноз на 20.05.12'!$C$7:$C$83,$K26,'прогноз на 20.05.12'!BH$7:BH$83)</f>
        <v>-271113.80000000005</v>
      </c>
      <c r="BI26" s="90">
        <f t="shared" si="10"/>
        <v>6.4444444444444446</v>
      </c>
      <c r="BJ26" s="90">
        <f t="shared" si="11"/>
        <v>21.8</v>
      </c>
      <c r="BK26" s="90">
        <f t="shared" si="12"/>
        <v>14.5</v>
      </c>
      <c r="BL26" s="90">
        <f t="shared" si="13"/>
        <v>12.25</v>
      </c>
    </row>
    <row r="27" spans="1:64" s="59" customFormat="1" ht="18.75">
      <c r="A27" s="38">
        <v>21</v>
      </c>
      <c r="B27" s="39" t="s">
        <v>65</v>
      </c>
      <c r="C27" s="40" t="s">
        <v>225</v>
      </c>
      <c r="D27" s="56" t="s">
        <v>14</v>
      </c>
      <c r="E27" s="56" t="s">
        <v>195</v>
      </c>
      <c r="F27" s="56" t="s">
        <v>28</v>
      </c>
      <c r="G27" s="56" t="s">
        <v>220</v>
      </c>
      <c r="H27" s="56" t="s">
        <v>36</v>
      </c>
      <c r="I27" s="56" t="s">
        <v>239</v>
      </c>
      <c r="J27" s="58"/>
      <c r="K27" s="58"/>
      <c r="L27" s="41">
        <f>SUMIF('прогноз на 20.05.12'!$C$7:$C$83,$C27,'прогноз на 20.05.12'!D$7:D$83)+SUMIF('прогноз на 20.05.12'!$C$7:$C$83,$E27,'прогноз на 20.05.12'!D$7:D$83)+SUMIF('прогноз на 20.05.12'!$C$7:$C$83,$G27,'прогноз на 20.05.12'!D$7:D$83)+SUMIF('прогноз на 20.05.12'!$C$7:$C$83,$I27,'прогноз на 20.05.12'!D$7:D$83)+SUMIF('прогноз на 20.05.12'!$C$7:$C$83,$K27,'прогноз на 20.05.12'!D$7:D$83)</f>
        <v>53</v>
      </c>
      <c r="M27" s="41">
        <f>SUMIF('прогноз на 20.05.12'!$C$7:$C$83,$C27,'прогноз на 20.05.12'!E$7:E$83)+SUMIF('прогноз на 20.05.12'!$C$7:$C$83,$E27,'прогноз на 20.05.12'!E$7:E$83)+SUMIF('прогноз на 20.05.12'!$C$7:$C$83,$G27,'прогноз на 20.05.12'!E$7:E$83)+SUMIF('прогноз на 20.05.12'!$C$7:$C$83,$I27,'прогноз на 20.05.12'!E$7:E$83)+SUMIF('прогноз на 20.05.12'!$C$7:$C$83,$K27,'прогноз на 20.05.12'!E$7:E$83)</f>
        <v>91</v>
      </c>
      <c r="N27" s="41">
        <f>SUMIF('прогноз на 20.05.12'!$C$7:$C$83,$C27,'прогноз на 20.05.12'!F$7:F$83)+SUMIF('прогноз на 20.05.12'!$C$7:$C$83,$E27,'прогноз на 20.05.12'!F$7:F$83)+SUMIF('прогноз на 20.05.12'!$C$7:$C$83,$G27,'прогноз на 20.05.12'!F$7:F$83)+SUMIF('прогноз на 20.05.12'!$C$7:$C$83,$I27,'прогноз на 20.05.12'!F$7:F$83)+SUMIF('прогноз на 20.05.12'!$C$7:$C$83,$K27,'прогноз на 20.05.12'!F$7:F$83)</f>
        <v>38</v>
      </c>
      <c r="O27" s="44">
        <f t="shared" si="6"/>
        <v>182</v>
      </c>
      <c r="P27" s="41">
        <f>SUMIF('прогноз на 20.05.12'!$C$7:$C$83,$C27,'прогноз на 20.05.12'!H$7:H$83)+SUMIF('прогноз на 20.05.12'!$C$7:$C$83,$E27,'прогноз на 20.05.12'!H$7:H$83)+SUMIF('прогноз на 20.05.12'!$C$7:$C$83,$G27,'прогноз на 20.05.12'!H$7:H$83)+SUMIF('прогноз на 20.05.12'!$C$7:$C$83,$I27,'прогноз на 20.05.12'!H$7:H$83)+SUMIF('прогноз на 20.05.12'!$C$7:$C$83,$K27,'прогноз на 20.05.12'!H$7:H$83)</f>
        <v>10</v>
      </c>
      <c r="Q27" s="41">
        <f>SUMIF('прогноз на 20.05.12'!$C$7:$C$83,$C27,'прогноз на 20.05.12'!I$7:I$83)+SUMIF('прогноз на 20.05.12'!$C$7:$C$83,$E27,'прогноз на 20.05.12'!I$7:I$83)+SUMIF('прогноз на 20.05.12'!$C$7:$C$83,$G27,'прогноз на 20.05.12'!I$7:I$83)+SUMIF('прогноз на 20.05.12'!$C$7:$C$83,$I27,'прогноз на 20.05.12'!I$7:I$83)+SUMIF('прогноз на 20.05.12'!$C$7:$C$83,$K27,'прогноз на 20.05.12'!I$7:I$83)</f>
        <v>5</v>
      </c>
      <c r="R27" s="41">
        <f>SUMIF('прогноз на 20.05.12'!$C$7:$C$83,$C27,'прогноз на 20.05.12'!J$7:J$83)+SUMIF('прогноз на 20.05.12'!$C$7:$C$83,$E27,'прогноз на 20.05.12'!J$7:J$83)+SUMIF('прогноз на 20.05.12'!$C$7:$C$83,$G27,'прогноз на 20.05.12'!J$7:J$83)+SUMIF('прогноз на 20.05.12'!$C$7:$C$83,$I27,'прогноз на 20.05.12'!J$7:J$83)+SUMIF('прогноз на 20.05.12'!$C$7:$C$83,$K27,'прогноз на 20.05.12'!J$7:J$83)</f>
        <v>2</v>
      </c>
      <c r="S27" s="45">
        <f t="shared" si="7"/>
        <v>17</v>
      </c>
      <c r="T27" s="41">
        <f>SUMIF('прогноз на 20.05.12'!$C$7:$C$83,$C27,'прогноз на 20.05.12'!L$7:L$83)+SUMIF('прогноз на 20.05.12'!$C$7:$C$83,$E27,'прогноз на 20.05.12'!L$7:L$83)+SUMIF('прогноз на 20.05.12'!$C$7:$C$83,$G27,'прогноз на 20.05.12'!L$7:L$83)+SUMIF('прогноз на 20.05.12'!$C$7:$C$83,$I27,'прогноз на 20.05.12'!L$7:L$83)+SUMIF('прогноз на 20.05.12'!$C$7:$C$83,$K27,'прогноз на 20.05.12'!L$7:L$83)</f>
        <v>0</v>
      </c>
      <c r="U27" s="41">
        <f>SUMIF('прогноз на 20.05.12'!$C$7:$C$83,$C27,'прогноз на 20.05.12'!M$7:M$83)+SUMIF('прогноз на 20.05.12'!$C$7:$C$83,$E27,'прогноз на 20.05.12'!M$7:M$83)+SUMIF('прогноз на 20.05.12'!$C$7:$C$83,$G27,'прогноз на 20.05.12'!M$7:M$83)+SUMIF('прогноз на 20.05.12'!$C$7:$C$83,$I27,'прогноз на 20.05.12'!M$7:M$83)+SUMIF('прогноз на 20.05.12'!$C$7:$C$83,$K27,'прогноз на 20.05.12'!M$7:M$83)</f>
        <v>0</v>
      </c>
      <c r="V27" s="41">
        <f>SUMIF('прогноз на 20.05.12'!$C$7:$C$83,$C27,'прогноз на 20.05.12'!N$7:N$83)+SUMIF('прогноз на 20.05.12'!$C$7:$C$83,$E27,'прогноз на 20.05.12'!N$7:N$83)+SUMIF('прогноз на 20.05.12'!$C$7:$C$83,$G27,'прогноз на 20.05.12'!N$7:N$83)+SUMIF('прогноз на 20.05.12'!$C$7:$C$83,$I27,'прогноз на 20.05.12'!N$7:N$83)+SUMIF('прогноз на 20.05.12'!$C$7:$C$83,$K27,'прогноз на 20.05.12'!N$7:N$83)</f>
        <v>0</v>
      </c>
      <c r="W27" s="45">
        <f t="shared" si="8"/>
        <v>0</v>
      </c>
      <c r="X27" s="41">
        <f>SUMIF('прогноз на 20.05.12'!$C$7:$C$83,$C27,'прогноз на 20.05.12'!P$7:P$83)+SUMIF('прогноз на 20.05.12'!$C$7:$C$83,$E27,'прогноз на 20.05.12'!P$7:P$83)+SUMIF('прогноз на 20.05.12'!$C$7:$C$83,$G27,'прогноз на 20.05.12'!P$7:P$83)+SUMIF('прогноз на 20.05.12'!$C$7:$C$83,$I27,'прогноз на 20.05.12'!P$7:P$83)+SUMIF('прогноз на 20.05.12'!$C$7:$C$83,$K27,'прогноз на 20.05.12'!P$7:P$83)</f>
        <v>1</v>
      </c>
      <c r="Y27" s="41">
        <f>SUMIF('прогноз на 20.05.12'!$C$7:$C$83,$C27,'прогноз на 20.05.12'!Q$7:Q$83)+SUMIF('прогноз на 20.05.12'!$C$7:$C$83,$E27,'прогноз на 20.05.12'!Q$7:Q$83)+SUMIF('прогноз на 20.05.12'!$C$7:$C$83,$G27,'прогноз на 20.05.12'!Q$7:Q$83)+SUMIF('прогноз на 20.05.12'!$C$7:$C$83,$I27,'прогноз на 20.05.12'!Q$7:Q$83)+SUMIF('прогноз на 20.05.12'!$C$7:$C$83,$K27,'прогноз на 20.05.12'!Q$7:Q$83)</f>
        <v>25</v>
      </c>
      <c r="Z27" s="45"/>
      <c r="AA27" s="41">
        <f>SUMIF('прогноз на 20.05.12'!$C$7:$C$83,$C27,'прогноз на 20.05.12'!S$7:S$83)+SUMIF('прогноз на 20.05.12'!$C$7:$C$83,$E27,'прогноз на 20.05.12'!S$7:S$83)+SUMIF('прогноз на 20.05.12'!$C$7:$C$83,$G27,'прогноз на 20.05.12'!S$7:S$83)+SUMIF('прогноз на 20.05.12'!$C$7:$C$83,$I27,'прогноз на 20.05.12'!S$7:S$83)+SUMIF('прогноз на 20.05.12'!$C$7:$C$83,$K27,'прогноз на 20.05.12'!S$7:S$83)</f>
        <v>90</v>
      </c>
      <c r="AB27" s="41">
        <f>SUMIF('прогноз на 20.05.12'!$C$7:$C$83,$C27,'прогноз на 20.05.12'!T$7:T$83)+SUMIF('прогноз на 20.05.12'!$C$7:$C$83,$E27,'прогноз на 20.05.12'!T$7:T$83)+SUMIF('прогноз на 20.05.12'!$C$7:$C$83,$G27,'прогноз на 20.05.12'!T$7:T$83)+SUMIF('прогноз на 20.05.12'!$C$7:$C$83,$I27,'прогноз на 20.05.12'!T$7:T$83)+SUMIF('прогноз на 20.05.12'!$C$7:$C$83,$K27,'прогноз на 20.05.12'!T$7:T$83)</f>
        <v>70</v>
      </c>
      <c r="AC27" s="41">
        <f>SUMIF('прогноз на 20.05.12'!$C$7:$C$83,$C27,'прогноз на 20.05.12'!U$7:U$83)+SUMIF('прогноз на 20.05.12'!$C$7:$C$83,$E27,'прогноз на 20.05.12'!U$7:U$83)+SUMIF('прогноз на 20.05.12'!$C$7:$C$83,$G27,'прогноз на 20.05.12'!U$7:U$83)+SUMIF('прогноз на 20.05.12'!$C$7:$C$83,$I27,'прогноз на 20.05.12'!U$7:U$83)+SUMIF('прогноз на 20.05.12'!$C$7:$C$83,$K27,'прогноз на 20.05.12'!U$7:U$83)</f>
        <v>28</v>
      </c>
      <c r="AD27" s="41">
        <f>SUMIF('прогноз на 20.05.12'!$C$7:$C$83,$C27,'прогноз на 20.05.12'!V$7:V$83)+SUMIF('прогноз на 20.05.12'!$C$7:$C$83,$E27,'прогноз на 20.05.12'!V$7:V$83)+SUMIF('прогноз на 20.05.12'!$C$7:$C$83,$G27,'прогноз на 20.05.12'!V$7:V$83)+SUMIF('прогноз на 20.05.12'!$C$7:$C$83,$I27,'прогноз на 20.05.12'!V$7:V$83)+SUMIF('прогноз на 20.05.12'!$C$7:$C$83,$K27,'прогноз на 20.05.12'!V$7:V$83)</f>
        <v>188</v>
      </c>
      <c r="AE27" s="41">
        <f>SUMIF('прогноз на 20.05.12'!$C$7:$C$83,$C27,'прогноз на 20.05.12'!W$7:W$83)+SUMIF('прогноз на 20.05.12'!$C$7:$C$83,$E27,'прогноз на 20.05.12'!W$7:W$83)+SUMIF('прогноз на 20.05.12'!$C$7:$C$83,$G27,'прогноз на 20.05.12'!W$7:W$83)+SUMIF('прогноз на 20.05.12'!$C$7:$C$83,$I27,'прогноз на 20.05.12'!W$7:W$83)+SUMIF('прогноз на 20.05.12'!$C$7:$C$83,$K27,'прогноз на 20.05.12'!W$7:W$83)</f>
        <v>37</v>
      </c>
      <c r="AF27" s="41">
        <f>SUMIF('прогноз на 20.05.12'!$C$7:$C$83,$C27,'прогноз на 20.05.12'!X$7:X$83)+SUMIF('прогноз на 20.05.12'!$C$7:$C$83,$E27,'прогноз на 20.05.12'!X$7:X$83)+SUMIF('прогноз на 20.05.12'!$C$7:$C$83,$G27,'прогноз на 20.05.12'!X$7:X$83)+SUMIF('прогноз на 20.05.12'!$C$7:$C$83,$I27,'прогноз на 20.05.12'!X$7:X$83)+SUMIF('прогноз на 20.05.12'!$C$7:$C$83,$K27,'прогноз на 20.05.12'!X$7:X$83)</f>
        <v>-21</v>
      </c>
      <c r="AG27" s="41">
        <f>SUMIF('прогноз на 20.05.12'!$C$7:$C$83,$C27,'прогноз на 20.05.12'!Y$7:Y$83)+SUMIF('прогноз на 20.05.12'!$C$7:$C$83,$E27,'прогноз на 20.05.12'!Y$7:Y$83)+SUMIF('прогноз на 20.05.12'!$C$7:$C$83,$G27,'прогноз на 20.05.12'!Y$7:Y$83)+SUMIF('прогноз на 20.05.12'!$C$7:$C$83,$I27,'прогноз на 20.05.12'!Y$7:Y$83)+SUMIF('прогноз на 20.05.12'!$C$7:$C$83,$K27,'прогноз на 20.05.12'!Y$7:Y$83)</f>
        <v>-10</v>
      </c>
      <c r="AH27" s="41">
        <f>SUMIF('прогноз на 20.05.12'!$C$7:$C$83,$C27,'прогноз на 20.05.12'!Z$7:Z$83)+SUMIF('прогноз на 20.05.12'!$C$7:$C$83,$E27,'прогноз на 20.05.12'!Z$7:Z$83)+SUMIF('прогноз на 20.05.12'!$C$7:$C$83,$G27,'прогноз на 20.05.12'!Z$7:Z$83)+SUMIF('прогноз на 20.05.12'!$C$7:$C$83,$I27,'прогноз на 20.05.12'!Z$7:Z$83)+SUMIF('прогноз на 20.05.12'!$C$7:$C$83,$K27,'прогноз на 20.05.12'!Z$7:Z$83)</f>
        <v>6</v>
      </c>
      <c r="AI27" s="41">
        <f>SUMIF('прогноз на 20.05.12'!$C$7:$C$83,$C27,'прогноз на 20.05.12'!AA$7:AA$83)+SUMIF('прогноз на 20.05.12'!$C$7:$C$83,$E27,'прогноз на 20.05.12'!AA$7:AA$83)+SUMIF('прогноз на 20.05.12'!$C$7:$C$83,$G27,'прогноз на 20.05.12'!AA$7:AA$83)+SUMIF('прогноз на 20.05.12'!$C$7:$C$83,$I27,'прогноз на 20.05.12'!AA$7:AA$83)+SUMIF('прогноз на 20.05.12'!$C$7:$C$83,$K27,'прогноз на 20.05.12'!AA$7:AA$83)</f>
        <v>27.75</v>
      </c>
      <c r="AJ27" s="41">
        <f>SUMIF('прогноз на 20.05.12'!$C$7:$C$83,$C27,'прогноз на 20.05.12'!AB$7:AB$83)+SUMIF('прогноз на 20.05.12'!$C$7:$C$83,$E27,'прогноз на 20.05.12'!AB$7:AB$83)+SUMIF('прогноз на 20.05.12'!$C$7:$C$83,$G27,'прогноз на 20.05.12'!AB$7:AB$83)+SUMIF('прогноз на 20.05.12'!$C$7:$C$83,$I27,'прогноз на 20.05.12'!AB$7:AB$83)+SUMIF('прогноз на 20.05.12'!$C$7:$C$83,$K27,'прогноз на 20.05.12'!AB$7:AB$83)</f>
        <v>4.2</v>
      </c>
      <c r="AK27" s="41">
        <f>SUMIF('прогноз на 20.05.12'!$C$7:$C$83,$C27,'прогноз на 20.05.12'!AC$7:AC$83)+SUMIF('прогноз на 20.05.12'!$C$7:$C$83,$E27,'прогноз на 20.05.12'!AC$7:AC$83)+SUMIF('прогноз на 20.05.12'!$C$7:$C$83,$G27,'прогноз на 20.05.12'!AC$7:AC$83)+SUMIF('прогноз на 20.05.12'!$C$7:$C$83,$I27,'прогноз на 20.05.12'!AC$7:AC$83)+SUMIF('прогноз на 20.05.12'!$C$7:$C$83,$K27,'прогноз на 20.05.12'!AC$7:AC$83)</f>
        <v>2</v>
      </c>
      <c r="AL27" s="41">
        <f>SUMIF('прогноз на 20.05.12'!$C$7:$C$83,$C27,'прогноз на 20.05.12'!AD$7:AD$83)+SUMIF('прогноз на 20.05.12'!$C$7:$C$83,$E27,'прогноз на 20.05.12'!AD$7:AD$83)+SUMIF('прогноз на 20.05.12'!$C$7:$C$83,$G27,'прогноз на 20.05.12'!AD$7:AD$83)+SUMIF('прогноз на 20.05.12'!$C$7:$C$83,$I27,'прогноз на 20.05.12'!AD$7:AD$83)+SUMIF('прогноз на 20.05.12'!$C$7:$C$83,$K27,'прогноз на 20.05.12'!AD$7:AD$83)</f>
        <v>33.950000000000003</v>
      </c>
      <c r="AM27" s="41">
        <f>SUMIF('прогноз на 20.05.12'!$C$7:$C$83,$C27,'прогноз на 20.05.12'!AE$7:AE$83)+SUMIF('прогноз на 20.05.12'!$C$7:$C$83,$E27,'прогноз на 20.05.12'!AE$7:AE$83)+SUMIF('прогноз на 20.05.12'!$C$7:$C$83,$G27,'прогноз на 20.05.12'!AE$7:AE$83)+SUMIF('прогноз на 20.05.12'!$C$7:$C$83,$I27,'прогноз на 20.05.12'!AE$7:AE$83)+SUMIF('прогноз на 20.05.12'!$C$7:$C$83,$K27,'прогноз на 20.05.12'!AE$7:AE$83)</f>
        <v>80.75</v>
      </c>
      <c r="AN27" s="41">
        <f>SUMIF('прогноз на 20.05.12'!$C$7:$C$83,$C27,'прогноз на 20.05.12'!AF$7:AF$83)+SUMIF('прогноз на 20.05.12'!$C$7:$C$83,$E27,'прогноз на 20.05.12'!AF$7:AF$83)+SUMIF('прогноз на 20.05.12'!$C$7:$C$83,$G27,'прогноз на 20.05.12'!AF$7:AF$83)+SUMIF('прогноз на 20.05.12'!$C$7:$C$83,$I27,'прогноз на 20.05.12'!AF$7:AF$83)+SUMIF('прогноз на 20.05.12'!$C$7:$C$83,$K27,'прогноз на 20.05.12'!AF$7:AF$83)</f>
        <v>95.2</v>
      </c>
      <c r="AO27" s="41">
        <f>SUMIF('прогноз на 20.05.12'!$C$7:$C$83,$C27,'прогноз на 20.05.12'!AG$7:AG$83)+SUMIF('прогноз на 20.05.12'!$C$7:$C$83,$E27,'прогноз на 20.05.12'!AG$7:AG$83)+SUMIF('прогноз на 20.05.12'!$C$7:$C$83,$G27,'прогноз на 20.05.12'!AG$7:AG$83)+SUMIF('прогноз на 20.05.12'!$C$7:$C$83,$I27,'прогноз на 20.05.12'!AG$7:AG$83)+SUMIF('прогноз на 20.05.12'!$C$7:$C$83,$K27,'прогноз на 20.05.12'!AG$7:AG$83)</f>
        <v>40</v>
      </c>
      <c r="AP27" s="41">
        <f>SUMIF('прогноз на 20.05.12'!$C$7:$C$83,$C27,'прогноз на 20.05.12'!AH$7:AH$83)+SUMIF('прогноз на 20.05.12'!$C$7:$C$83,$E27,'прогноз на 20.05.12'!AH$7:AH$83)+SUMIF('прогноз на 20.05.12'!$C$7:$C$83,$G27,'прогноз на 20.05.12'!AH$7:AH$83)+SUMIF('прогноз на 20.05.12'!$C$7:$C$83,$I27,'прогноз на 20.05.12'!AH$7:AH$83)+SUMIF('прогноз на 20.05.12'!$C$7:$C$83,$K27,'прогноз на 20.05.12'!AH$7:AH$83)</f>
        <v>215.95</v>
      </c>
      <c r="AQ27" s="41">
        <f>SUMIF('прогноз на 20.05.12'!$C$7:$C$83,$C27,'прогноз на 20.05.12'!AM$7:AM$83)+SUMIF('прогноз на 20.05.12'!$C$7:$C$83,$E27,'прогноз на 20.05.12'!AM$7:AM$83)+SUMIF('прогноз на 20.05.12'!$C$7:$C$83,$G27,'прогноз на 20.05.12'!AM$7:AM$83)+SUMIF('прогноз на 20.05.12'!$C$7:$C$83,$I27,'прогноз на 20.05.12'!AM$7:AM$83)+SUMIF('прогноз на 20.05.12'!$C$7:$C$83,$K27,'прогноз на 20.05.12'!AM$7:AM$83)</f>
        <v>553806.75</v>
      </c>
      <c r="AR27" s="41">
        <f>SUMIF('прогноз на 20.05.12'!$C$7:$C$83,$C27,'прогноз на 20.05.12'!AN$7:AN$83)+SUMIF('прогноз на 20.05.12'!$C$7:$C$83,$E27,'прогноз на 20.05.12'!AN$7:AN$83)+SUMIF('прогноз на 20.05.12'!$C$7:$C$83,$G27,'прогноз на 20.05.12'!AN$7:AN$83)+SUMIF('прогноз на 20.05.12'!$C$7:$C$83,$I27,'прогноз на 20.05.12'!AN$7:AN$83)+SUMIF('прогноз на 20.05.12'!$C$7:$C$83,$K27,'прогноз на 20.05.12'!AN$7:AN$83)</f>
        <v>142711.80000000002</v>
      </c>
      <c r="AS27" s="41">
        <f>SUMIF('прогноз на 20.05.12'!$C$7:$C$83,$C27,'прогноз на 20.05.12'!AO$7:AO$83)+SUMIF('прогноз на 20.05.12'!$C$7:$C$83,$E27,'прогноз на 20.05.12'!AO$7:AO$83)+SUMIF('прогноз на 20.05.12'!$C$7:$C$83,$G27,'прогноз на 20.05.12'!AO$7:AO$83)+SUMIF('прогноз на 20.05.12'!$C$7:$C$83,$I27,'прогноз на 20.05.12'!AO$7:AO$83)+SUMIF('прогноз на 20.05.12'!$C$7:$C$83,$K27,'прогноз на 20.05.12'!AO$7:AO$83)</f>
        <v>72574</v>
      </c>
      <c r="AT27" s="41">
        <f>SUMIF('прогноз на 20.05.12'!$C$7:$C$83,$C27,'прогноз на 20.05.12'!AP$7:AP$83)+SUMIF('прогноз на 20.05.12'!$C$7:$C$83,$E27,'прогноз на 20.05.12'!AP$7:AP$83)+SUMIF('прогноз на 20.05.12'!$C$7:$C$83,$G27,'прогноз на 20.05.12'!AP$7:AP$83)+SUMIF('прогноз на 20.05.12'!$C$7:$C$83,$I27,'прогноз на 20.05.12'!AP$7:AP$83)+SUMIF('прогноз на 20.05.12'!$C$7:$C$83,$K27,'прогноз на 20.05.12'!AP$7:AP$83)</f>
        <v>769092.55</v>
      </c>
      <c r="AU27" s="41">
        <f>SUMIF('прогноз на 20.05.12'!$C$7:$C$83,$C27,'прогноз на 20.05.12'!AU$7:AU$83)+SUMIF('прогноз на 20.05.12'!$C$7:$C$83,$E27,'прогноз на 20.05.12'!AU$7:AU$83)+SUMIF('прогноз на 20.05.12'!$C$7:$C$83,$G27,'прогноз на 20.05.12'!AU$7:AU$83)+SUMIF('прогноз на 20.05.12'!$C$7:$C$83,$I27,'прогноз на 20.05.12'!AU$7:AU$83)+SUMIF('прогноз на 20.05.12'!$C$7:$C$83,$K27,'прогноз на 20.05.12'!AU$7:AU$83)</f>
        <v>35103.75</v>
      </c>
      <c r="AV27" s="41">
        <f>SUMIF('прогноз на 20.05.12'!$C$7:$C$83,$C27,'прогноз на 20.05.12'!AV$7:AV$83)+SUMIF('прогноз на 20.05.12'!$C$7:$C$83,$E27,'прогноз на 20.05.12'!AV$7:AV$83)+SUMIF('прогноз на 20.05.12'!$C$7:$C$83,$G27,'прогноз на 20.05.12'!AV$7:AV$83)+SUMIF('прогноз на 20.05.12'!$C$7:$C$83,$I27,'прогноз на 20.05.12'!AV$7:AV$83)+SUMIF('прогноз на 20.05.12'!$C$7:$C$83,$K27,'прогноз на 20.05.12'!AV$7:AV$83)</f>
        <v>6052.2</v>
      </c>
      <c r="AW27" s="41">
        <f>SUMIF('прогноз на 20.05.12'!$C$7:$C$83,$C27,'прогноз на 20.05.12'!AW$7:AW$83)+SUMIF('прогноз на 20.05.12'!$C$7:$C$83,$E27,'прогноз на 20.05.12'!AW$7:AW$83)+SUMIF('прогноз на 20.05.12'!$C$7:$C$83,$G27,'прогноз на 20.05.12'!AW$7:AW$83)+SUMIF('прогноз на 20.05.12'!$C$7:$C$83,$I27,'прогноз на 20.05.12'!AW$7:AW$83)+SUMIF('прогноз на 20.05.12'!$C$7:$C$83,$K27,'прогноз на 20.05.12'!AW$7:AW$83)</f>
        <v>3654</v>
      </c>
      <c r="AX27" s="41">
        <f>SUMIF('прогноз на 20.05.12'!$C$7:$C$83,$C27,'прогноз на 20.05.12'!AX$7:AX$83)+SUMIF('прогноз на 20.05.12'!$C$7:$C$83,$E27,'прогноз на 20.05.12'!AX$7:AX$83)+SUMIF('прогноз на 20.05.12'!$C$7:$C$83,$G27,'прогноз на 20.05.12'!AX$7:AX$83)+SUMIF('прогноз на 20.05.12'!$C$7:$C$83,$I27,'прогноз на 20.05.12'!AX$7:AX$83)+SUMIF('прогноз на 20.05.12'!$C$7:$C$83,$K27,'прогноз на 20.05.12'!AX$7:AX$83)</f>
        <v>44809.95</v>
      </c>
      <c r="AY27" s="41">
        <f>SUMIF('прогноз на 20.05.12'!$C$7:$C$83,$C27,'прогноз на 20.05.12'!AY$7:AY$83)+SUMIF('прогноз на 20.05.12'!$C$7:$C$83,$E27,'прогноз на 20.05.12'!AY$7:AY$83)+SUMIF('прогноз на 20.05.12'!$C$7:$C$83,$G27,'прогноз на 20.05.12'!AY$7:AY$83)+SUMIF('прогноз на 20.05.12'!$C$7:$C$83,$I27,'прогноз на 20.05.12'!AY$7:AY$83)+SUMIF('прогноз на 20.05.12'!$C$7:$C$83,$K27,'прогноз на 20.05.12'!AY$7:AY$83)</f>
        <v>588910.5</v>
      </c>
      <c r="AZ27" s="41">
        <f>SUMIF('прогноз на 20.05.12'!$C$7:$C$83,$C27,'прогноз на 20.05.12'!AZ$7:AZ$83)+SUMIF('прогноз на 20.05.12'!$C$7:$C$83,$E27,'прогноз на 20.05.12'!AZ$7:AZ$83)+SUMIF('прогноз на 20.05.12'!$C$7:$C$83,$G27,'прогноз на 20.05.12'!AZ$7:AZ$83)+SUMIF('прогноз на 20.05.12'!$C$7:$C$83,$I27,'прогноз на 20.05.12'!AZ$7:AZ$83)+SUMIF('прогноз на 20.05.12'!$C$7:$C$83,$K27,'прогноз на 20.05.12'!AZ$7:AZ$83)</f>
        <v>148764.00000000003</v>
      </c>
      <c r="BA27" s="41">
        <f>SUMIF('прогноз на 20.05.12'!$C$7:$C$83,$C27,'прогноз на 20.05.12'!BA$7:BA$83)+SUMIF('прогноз на 20.05.12'!$C$7:$C$83,$E27,'прогноз на 20.05.12'!BA$7:BA$83)+SUMIF('прогноз на 20.05.12'!$C$7:$C$83,$G27,'прогноз на 20.05.12'!BA$7:BA$83)+SUMIF('прогноз на 20.05.12'!$C$7:$C$83,$I27,'прогноз на 20.05.12'!BA$7:BA$83)+SUMIF('прогноз на 20.05.12'!$C$7:$C$83,$K27,'прогноз на 20.05.12'!BA$7:BA$83)</f>
        <v>76228</v>
      </c>
      <c r="BB27" s="41">
        <f>SUMIF('прогноз на 20.05.12'!$C$7:$C$83,$C27,'прогноз на 20.05.12'!BB$7:BB$83)+SUMIF('прогноз на 20.05.12'!$C$7:$C$83,$E27,'прогноз на 20.05.12'!BB$7:BB$83)+SUMIF('прогноз на 20.05.12'!$C$7:$C$83,$G27,'прогноз на 20.05.12'!BB$7:BB$83)+SUMIF('прогноз на 20.05.12'!$C$7:$C$83,$I27,'прогноз на 20.05.12'!BB$7:BB$83)+SUMIF('прогноз на 20.05.12'!$C$7:$C$83,$K27,'прогноз на 20.05.12'!BB$7:BB$83)</f>
        <v>813902.5</v>
      </c>
      <c r="BC27" s="41">
        <f>SUMIF('прогноз на 20.05.12'!$C$7:$C$83,$C27,'прогноз на 20.05.12'!BC$7:BC$83)+SUMIF('прогноз на 20.05.12'!$C$7:$C$83,$E27,'прогноз на 20.05.12'!BC$7:BC$83)+SUMIF('прогноз на 20.05.12'!$C$7:$C$83,$G27,'прогноз на 20.05.12'!BC$7:BC$83)+SUMIF('прогноз на 20.05.12'!$C$7:$C$83,$I27,'прогноз на 20.05.12'!BC$7:BC$83)+SUMIF('прогноз на 20.05.12'!$C$7:$C$83,$K27,'прогноз на 20.05.12'!BC$7:BC$83)</f>
        <v>1321254</v>
      </c>
      <c r="BD27" s="41">
        <f>SUMIF('прогноз на 20.05.12'!$C$7:$C$83,$C27,'прогноз на 20.05.12'!BD$7:BD$83)+SUMIF('прогноз на 20.05.12'!$C$7:$C$83,$E27,'прогноз на 20.05.12'!BD$7:BD$83)+SUMIF('прогноз на 20.05.12'!$C$7:$C$83,$G27,'прогноз на 20.05.12'!BD$7:BD$83)+SUMIF('прогноз на 20.05.12'!$C$7:$C$83,$I27,'прогноз на 20.05.12'!BD$7:BD$83)+SUMIF('прогноз на 20.05.12'!$C$7:$C$83,$K27,'прогноз на 20.05.12'!BD$7:BD$83)</f>
        <v>1420558</v>
      </c>
      <c r="BE27" s="41">
        <f>SUMIF('прогноз на 20.05.12'!$C$7:$C$83,$C27,'прогноз на 20.05.12'!BE$7:BE$83)+SUMIF('прогноз на 20.05.12'!$C$7:$C$83,$E27,'прогноз на 20.05.12'!BE$7:BE$83)+SUMIF('прогноз на 20.05.12'!$C$7:$C$83,$G27,'прогноз на 20.05.12'!BE$7:BE$83)+SUMIF('прогноз на 20.05.12'!$C$7:$C$83,$I27,'прогноз на 20.05.12'!BE$7:BE$83)+SUMIF('прогноз на 20.05.12'!$C$7:$C$83,$K27,'прогноз на 20.05.12'!BE$7:BE$83)</f>
        <v>-99304</v>
      </c>
      <c r="BF27" s="41">
        <f>SUMIF('прогноз на 20.05.12'!$C$7:$C$83,$C27,'прогноз на 20.05.12'!BF$7:BF$83)+SUMIF('прогноз на 20.05.12'!$C$7:$C$83,$E27,'прогноз на 20.05.12'!BF$7:BF$83)+SUMIF('прогноз на 20.05.12'!$C$7:$C$83,$G27,'прогноз на 20.05.12'!BF$7:BF$83)+SUMIF('прогноз на 20.05.12'!$C$7:$C$83,$I27,'прогноз на 20.05.12'!BF$7:BF$83)+SUMIF('прогноз на 20.05.12'!$C$7:$C$83,$K27,'прогноз на 20.05.12'!BF$7:BF$83)</f>
        <v>507351.5</v>
      </c>
      <c r="BG27" s="41">
        <f>SUMIF('прогноз на 20.05.12'!$C$7:$C$83,$C27,'прогноз на 20.05.12'!BG$7:BG$83)+SUMIF('прогноз на 20.05.12'!$C$7:$C$83,$E27,'прогноз на 20.05.12'!BG$7:BG$83)+SUMIF('прогноз на 20.05.12'!$C$7:$C$83,$G27,'прогноз на 20.05.12'!BG$7:BG$83)+SUMIF('прогноз на 20.05.12'!$C$7:$C$83,$I27,'прогноз на 20.05.12'!BG$7:BG$83)+SUMIF('прогноз на 20.05.12'!$C$7:$C$83,$K27,'прогноз на 20.05.12'!BG$7:BG$83)</f>
        <v>606655.5</v>
      </c>
      <c r="BH27" s="41">
        <f>SUMIF('прогноз на 20.05.12'!$C$7:$C$83,$C27,'прогноз на 20.05.12'!BH$7:BH$83)+SUMIF('прогноз на 20.05.12'!$C$7:$C$83,$E27,'прогноз на 20.05.12'!BH$7:BH$83)+SUMIF('прогноз на 20.05.12'!$C$7:$C$83,$G27,'прогноз на 20.05.12'!BH$7:BH$83)+SUMIF('прогноз на 20.05.12'!$C$7:$C$83,$I27,'прогноз на 20.05.12'!BH$7:BH$83)+SUMIF('прогноз на 20.05.12'!$C$7:$C$83,$K27,'прогноз на 20.05.12'!BH$7:BH$83)</f>
        <v>-99304</v>
      </c>
      <c r="BI27" s="90">
        <f t="shared" si="10"/>
        <v>5.3</v>
      </c>
      <c r="BJ27" s="90">
        <f t="shared" si="11"/>
        <v>18.2</v>
      </c>
      <c r="BK27" s="90">
        <f t="shared" si="12"/>
        <v>19</v>
      </c>
      <c r="BL27" s="90">
        <f t="shared" si="13"/>
        <v>10.705882352941176</v>
      </c>
    </row>
    <row r="28" spans="1:64" s="59" customFormat="1" ht="18.75">
      <c r="A28" s="38">
        <v>22</v>
      </c>
      <c r="B28" s="39" t="s">
        <v>67</v>
      </c>
      <c r="C28" s="40" t="s">
        <v>227</v>
      </c>
      <c r="D28" s="56" t="s">
        <v>20</v>
      </c>
      <c r="E28" s="56" t="s">
        <v>202</v>
      </c>
      <c r="F28" s="56" t="s">
        <v>21</v>
      </c>
      <c r="G28" s="56" t="s">
        <v>203</v>
      </c>
      <c r="H28" s="58"/>
      <c r="I28" s="58"/>
      <c r="J28" s="58"/>
      <c r="K28" s="58"/>
      <c r="L28" s="41">
        <f>SUMIF('прогноз на 20.05.12'!$C$7:$C$83,$C28,'прогноз на 20.05.12'!D$7:D$83)+SUMIF('прогноз на 20.05.12'!$C$7:$C$83,$E28,'прогноз на 20.05.12'!D$7:D$83)+SUMIF('прогноз на 20.05.12'!$C$7:$C$83,$G28,'прогноз на 20.05.12'!D$7:D$83)+SUMIF('прогноз на 20.05.12'!$C$7:$C$83,$I28,'прогноз на 20.05.12'!D$7:D$83)+SUMIF('прогноз на 20.05.12'!$C$7:$C$83,$K28,'прогноз на 20.05.12'!D$7:D$83)</f>
        <v>35</v>
      </c>
      <c r="M28" s="41">
        <f>SUMIF('прогноз на 20.05.12'!$C$7:$C$83,$C28,'прогноз на 20.05.12'!E$7:E$83)+SUMIF('прогноз на 20.05.12'!$C$7:$C$83,$E28,'прогноз на 20.05.12'!E$7:E$83)+SUMIF('прогноз на 20.05.12'!$C$7:$C$83,$G28,'прогноз на 20.05.12'!E$7:E$83)+SUMIF('прогноз на 20.05.12'!$C$7:$C$83,$I28,'прогноз на 20.05.12'!E$7:E$83)+SUMIF('прогноз на 20.05.12'!$C$7:$C$83,$K28,'прогноз на 20.05.12'!E$7:E$83)</f>
        <v>62</v>
      </c>
      <c r="N28" s="41">
        <f>SUMIF('прогноз на 20.05.12'!$C$7:$C$83,$C28,'прогноз на 20.05.12'!F$7:F$83)+SUMIF('прогноз на 20.05.12'!$C$7:$C$83,$E28,'прогноз на 20.05.12'!F$7:F$83)+SUMIF('прогноз на 20.05.12'!$C$7:$C$83,$G28,'прогноз на 20.05.12'!F$7:F$83)+SUMIF('прогноз на 20.05.12'!$C$7:$C$83,$I28,'прогноз на 20.05.12'!F$7:F$83)+SUMIF('прогноз на 20.05.12'!$C$7:$C$83,$K28,'прогноз на 20.05.12'!F$7:F$83)</f>
        <v>29</v>
      </c>
      <c r="O28" s="44">
        <f t="shared" si="6"/>
        <v>126</v>
      </c>
      <c r="P28" s="41">
        <f>SUMIF('прогноз на 20.05.12'!$C$7:$C$83,$C28,'прогноз на 20.05.12'!H$7:H$83)+SUMIF('прогноз на 20.05.12'!$C$7:$C$83,$E28,'прогноз на 20.05.12'!H$7:H$83)+SUMIF('прогноз на 20.05.12'!$C$7:$C$83,$G28,'прогноз на 20.05.12'!H$7:H$83)+SUMIF('прогноз на 20.05.12'!$C$7:$C$83,$I28,'прогноз на 20.05.12'!H$7:H$83)+SUMIF('прогноз на 20.05.12'!$C$7:$C$83,$K28,'прогноз на 20.05.12'!H$7:H$83)</f>
        <v>6</v>
      </c>
      <c r="Q28" s="41">
        <f>SUMIF('прогноз на 20.05.12'!$C$7:$C$83,$C28,'прогноз на 20.05.12'!I$7:I$83)+SUMIF('прогноз на 20.05.12'!$C$7:$C$83,$E28,'прогноз на 20.05.12'!I$7:I$83)+SUMIF('прогноз на 20.05.12'!$C$7:$C$83,$G28,'прогноз на 20.05.12'!I$7:I$83)+SUMIF('прогноз на 20.05.12'!$C$7:$C$83,$I28,'прогноз на 20.05.12'!I$7:I$83)+SUMIF('прогноз на 20.05.12'!$C$7:$C$83,$K28,'прогноз на 20.05.12'!I$7:I$83)</f>
        <v>5</v>
      </c>
      <c r="R28" s="41">
        <f>SUMIF('прогноз на 20.05.12'!$C$7:$C$83,$C28,'прогноз на 20.05.12'!J$7:J$83)+SUMIF('прогноз на 20.05.12'!$C$7:$C$83,$E28,'прогноз на 20.05.12'!J$7:J$83)+SUMIF('прогноз на 20.05.12'!$C$7:$C$83,$G28,'прогноз на 20.05.12'!J$7:J$83)+SUMIF('прогноз на 20.05.12'!$C$7:$C$83,$I28,'прогноз на 20.05.12'!J$7:J$83)+SUMIF('прогноз на 20.05.12'!$C$7:$C$83,$K28,'прогноз на 20.05.12'!J$7:J$83)</f>
        <v>2</v>
      </c>
      <c r="S28" s="45">
        <f>P28+Q28+R28</f>
        <v>13</v>
      </c>
      <c r="T28" s="41">
        <f>SUMIF('прогноз на 20.05.12'!$C$7:$C$83,$C28,'прогноз на 20.05.12'!L$7:L$83)+SUMIF('прогноз на 20.05.12'!$C$7:$C$83,$E28,'прогноз на 20.05.12'!L$7:L$83)+SUMIF('прогноз на 20.05.12'!$C$7:$C$83,$G28,'прогноз на 20.05.12'!L$7:L$83)+SUMIF('прогноз на 20.05.12'!$C$7:$C$83,$I28,'прогноз на 20.05.12'!L$7:L$83)+SUMIF('прогноз на 20.05.12'!$C$7:$C$83,$K28,'прогноз на 20.05.12'!L$7:L$83)</f>
        <v>0</v>
      </c>
      <c r="U28" s="41">
        <f>SUMIF('прогноз на 20.05.12'!$C$7:$C$83,$C28,'прогноз на 20.05.12'!M$7:M$83)+SUMIF('прогноз на 20.05.12'!$C$7:$C$83,$E28,'прогноз на 20.05.12'!M$7:M$83)+SUMIF('прогноз на 20.05.12'!$C$7:$C$83,$G28,'прогноз на 20.05.12'!M$7:M$83)+SUMIF('прогноз на 20.05.12'!$C$7:$C$83,$I28,'прогноз на 20.05.12'!M$7:M$83)+SUMIF('прогноз на 20.05.12'!$C$7:$C$83,$K28,'прогноз на 20.05.12'!M$7:M$83)</f>
        <v>0</v>
      </c>
      <c r="V28" s="41">
        <f>SUMIF('прогноз на 20.05.12'!$C$7:$C$83,$C28,'прогноз на 20.05.12'!N$7:N$83)+SUMIF('прогноз на 20.05.12'!$C$7:$C$83,$E28,'прогноз на 20.05.12'!N$7:N$83)+SUMIF('прогноз на 20.05.12'!$C$7:$C$83,$G28,'прогноз на 20.05.12'!N$7:N$83)+SUMIF('прогноз на 20.05.12'!$C$7:$C$83,$I28,'прогноз на 20.05.12'!N$7:N$83)+SUMIF('прогноз на 20.05.12'!$C$7:$C$83,$K28,'прогноз на 20.05.12'!N$7:N$83)</f>
        <v>0</v>
      </c>
      <c r="W28" s="45">
        <f>T28+U28+V28</f>
        <v>0</v>
      </c>
      <c r="X28" s="41">
        <f>SUMIF('прогноз на 20.05.12'!$C$7:$C$83,$C28,'прогноз на 20.05.12'!P$7:P$83)+SUMIF('прогноз на 20.05.12'!$C$7:$C$83,$E28,'прогноз на 20.05.12'!P$7:P$83)+SUMIF('прогноз на 20.05.12'!$C$7:$C$83,$G28,'прогноз на 20.05.12'!P$7:P$83)+SUMIF('прогноз на 20.05.12'!$C$7:$C$83,$I28,'прогноз на 20.05.12'!P$7:P$83)+SUMIF('прогноз на 20.05.12'!$C$7:$C$83,$K28,'прогноз на 20.05.12'!P$7:P$83)</f>
        <v>0</v>
      </c>
      <c r="Y28" s="41">
        <f>SUMIF('прогноз на 20.05.12'!$C$7:$C$83,$C28,'прогноз на 20.05.12'!Q$7:Q$83)+SUMIF('прогноз на 20.05.12'!$C$7:$C$83,$E28,'прогноз на 20.05.12'!Q$7:Q$83)+SUMIF('прогноз на 20.05.12'!$C$7:$C$83,$G28,'прогноз на 20.05.12'!Q$7:Q$83)+SUMIF('прогноз на 20.05.12'!$C$7:$C$83,$I28,'прогноз на 20.05.12'!Q$7:Q$83)+SUMIF('прогноз на 20.05.12'!$C$7:$C$83,$K28,'прогноз на 20.05.12'!Q$7:Q$83)</f>
        <v>0</v>
      </c>
      <c r="Z28" s="45"/>
      <c r="AA28" s="41">
        <f>SUMIF('прогноз на 20.05.12'!$C$7:$C$83,$C28,'прогноз на 20.05.12'!S$7:S$83)+SUMIF('прогноз на 20.05.12'!$C$7:$C$83,$E28,'прогноз на 20.05.12'!S$7:S$83)+SUMIF('прогноз на 20.05.12'!$C$7:$C$83,$G28,'прогноз на 20.05.12'!S$7:S$83)+SUMIF('прогноз на 20.05.12'!$C$7:$C$83,$I28,'прогноз на 20.05.12'!S$7:S$83)+SUMIF('прогноз на 20.05.12'!$C$7:$C$83,$K28,'прогноз на 20.05.12'!S$7:S$83)</f>
        <v>44</v>
      </c>
      <c r="AB28" s="41">
        <f>SUMIF('прогноз на 20.05.12'!$C$7:$C$83,$C28,'прогноз на 20.05.12'!T$7:T$83)+SUMIF('прогноз на 20.05.12'!$C$7:$C$83,$E28,'прогноз на 20.05.12'!T$7:T$83)+SUMIF('прогноз на 20.05.12'!$C$7:$C$83,$G28,'прогноз на 20.05.12'!T$7:T$83)+SUMIF('прогноз на 20.05.12'!$C$7:$C$83,$I28,'прогноз на 20.05.12'!T$7:T$83)+SUMIF('прогноз на 20.05.12'!$C$7:$C$83,$K28,'прогноз на 20.05.12'!T$7:T$83)</f>
        <v>70</v>
      </c>
      <c r="AC28" s="41">
        <f>SUMIF('прогноз на 20.05.12'!$C$7:$C$83,$C28,'прогноз на 20.05.12'!U$7:U$83)+SUMIF('прогноз на 20.05.12'!$C$7:$C$83,$E28,'прогноз на 20.05.12'!U$7:U$83)+SUMIF('прогноз на 20.05.12'!$C$7:$C$83,$G28,'прогноз на 20.05.12'!U$7:U$83)+SUMIF('прогноз на 20.05.12'!$C$7:$C$83,$I28,'прогноз на 20.05.12'!U$7:U$83)+SUMIF('прогноз на 20.05.12'!$C$7:$C$83,$K28,'прогноз на 20.05.12'!U$7:U$83)</f>
        <v>28</v>
      </c>
      <c r="AD28" s="41">
        <f>SUMIF('прогноз на 20.05.12'!$C$7:$C$83,$C28,'прогноз на 20.05.12'!V$7:V$83)+SUMIF('прогноз на 20.05.12'!$C$7:$C$83,$E28,'прогноз на 20.05.12'!V$7:V$83)+SUMIF('прогноз на 20.05.12'!$C$7:$C$83,$G28,'прогноз на 20.05.12'!V$7:V$83)+SUMIF('прогноз на 20.05.12'!$C$7:$C$83,$I28,'прогноз на 20.05.12'!V$7:V$83)+SUMIF('прогноз на 20.05.12'!$C$7:$C$83,$K28,'прогноз на 20.05.12'!V$7:V$83)</f>
        <v>142</v>
      </c>
      <c r="AE28" s="41">
        <f>SUMIF('прогноз на 20.05.12'!$C$7:$C$83,$C28,'прогноз на 20.05.12'!W$7:W$83)+SUMIF('прогноз на 20.05.12'!$C$7:$C$83,$E28,'прогноз на 20.05.12'!W$7:W$83)+SUMIF('прогноз на 20.05.12'!$C$7:$C$83,$G28,'прогноз на 20.05.12'!W$7:W$83)+SUMIF('прогноз на 20.05.12'!$C$7:$C$83,$I28,'прогноз на 20.05.12'!W$7:W$83)+SUMIF('прогноз на 20.05.12'!$C$7:$C$83,$K28,'прогноз на 20.05.12'!W$7:W$83)</f>
        <v>9</v>
      </c>
      <c r="AF28" s="41">
        <f>SUMIF('прогноз на 20.05.12'!$C$7:$C$83,$C28,'прогноз на 20.05.12'!X$7:X$83)+SUMIF('прогноз на 20.05.12'!$C$7:$C$83,$E28,'прогноз на 20.05.12'!X$7:X$83)+SUMIF('прогноз на 20.05.12'!$C$7:$C$83,$G28,'прогноз на 20.05.12'!X$7:X$83)+SUMIF('прогноз на 20.05.12'!$C$7:$C$83,$I28,'прогноз на 20.05.12'!X$7:X$83)+SUMIF('прогноз на 20.05.12'!$C$7:$C$83,$K28,'прогноз на 20.05.12'!X$7:X$83)</f>
        <v>8</v>
      </c>
      <c r="AG28" s="41">
        <f>SUMIF('прогноз на 20.05.12'!$C$7:$C$83,$C28,'прогноз на 20.05.12'!Y$7:Y$83)+SUMIF('прогноз на 20.05.12'!$C$7:$C$83,$E28,'прогноз на 20.05.12'!Y$7:Y$83)+SUMIF('прогноз на 20.05.12'!$C$7:$C$83,$G28,'прогноз на 20.05.12'!Y$7:Y$83)+SUMIF('прогноз на 20.05.12'!$C$7:$C$83,$I28,'прогноз на 20.05.12'!Y$7:Y$83)+SUMIF('прогноз на 20.05.12'!$C$7:$C$83,$K28,'прогноз на 20.05.12'!Y$7:Y$83)</f>
        <v>-1</v>
      </c>
      <c r="AH28" s="41">
        <f>SUMIF('прогноз на 20.05.12'!$C$7:$C$83,$C28,'прогноз на 20.05.12'!Z$7:Z$83)+SUMIF('прогноз на 20.05.12'!$C$7:$C$83,$E28,'прогноз на 20.05.12'!Z$7:Z$83)+SUMIF('прогноз на 20.05.12'!$C$7:$C$83,$G28,'прогноз на 20.05.12'!Z$7:Z$83)+SUMIF('прогноз на 20.05.12'!$C$7:$C$83,$I28,'прогноз на 20.05.12'!Z$7:Z$83)+SUMIF('прогноз на 20.05.12'!$C$7:$C$83,$K28,'прогноз на 20.05.12'!Z$7:Z$83)</f>
        <v>16</v>
      </c>
      <c r="AI28" s="41">
        <f>SUMIF('прогноз на 20.05.12'!$C$7:$C$83,$C28,'прогноз на 20.05.12'!AA$7:AA$83)+SUMIF('прогноз на 20.05.12'!$C$7:$C$83,$E28,'прогноз на 20.05.12'!AA$7:AA$83)+SUMIF('прогноз на 20.05.12'!$C$7:$C$83,$G28,'прогноз на 20.05.12'!AA$7:AA$83)+SUMIF('прогноз на 20.05.12'!$C$7:$C$83,$I28,'прогноз на 20.05.12'!AA$7:AA$83)+SUMIF('прогноз на 20.05.12'!$C$7:$C$83,$K28,'прогноз на 20.05.12'!AA$7:AA$83)</f>
        <v>6.75</v>
      </c>
      <c r="AJ28" s="41">
        <f>SUMIF('прогноз на 20.05.12'!$C$7:$C$83,$C28,'прогноз на 20.05.12'!AB$7:AB$83)+SUMIF('прогноз на 20.05.12'!$C$7:$C$83,$E28,'прогноз на 20.05.12'!AB$7:AB$83)+SUMIF('прогноз на 20.05.12'!$C$7:$C$83,$G28,'прогноз на 20.05.12'!AB$7:AB$83)+SUMIF('прогноз на 20.05.12'!$C$7:$C$83,$I28,'прогноз на 20.05.12'!AB$7:AB$83)+SUMIF('прогноз на 20.05.12'!$C$7:$C$83,$K28,'прогноз на 20.05.12'!AB$7:AB$83)</f>
        <v>6</v>
      </c>
      <c r="AK28" s="41">
        <f>SUMIF('прогноз на 20.05.12'!$C$7:$C$83,$C28,'прогноз на 20.05.12'!AC$7:AC$83)+SUMIF('прогноз на 20.05.12'!$C$7:$C$83,$E28,'прогноз на 20.05.12'!AC$7:AC$83)+SUMIF('прогноз на 20.05.12'!$C$7:$C$83,$G28,'прогноз на 20.05.12'!AC$7:AC$83)+SUMIF('прогноз на 20.05.12'!$C$7:$C$83,$I28,'прогноз на 20.05.12'!AC$7:AC$83)+SUMIF('прогноз на 20.05.12'!$C$7:$C$83,$K28,'прогноз на 20.05.12'!AC$7:AC$83)</f>
        <v>0.2</v>
      </c>
      <c r="AL28" s="41">
        <f>SUMIF('прогноз на 20.05.12'!$C$7:$C$83,$C28,'прогноз на 20.05.12'!AD$7:AD$83)+SUMIF('прогноз на 20.05.12'!$C$7:$C$83,$E28,'прогноз на 20.05.12'!AD$7:AD$83)+SUMIF('прогноз на 20.05.12'!$C$7:$C$83,$G28,'прогноз на 20.05.12'!AD$7:AD$83)+SUMIF('прогноз на 20.05.12'!$C$7:$C$83,$I28,'прогноз на 20.05.12'!AD$7:AD$83)+SUMIF('прогноз на 20.05.12'!$C$7:$C$83,$K28,'прогноз на 20.05.12'!AD$7:AD$83)</f>
        <v>12.95</v>
      </c>
      <c r="AM28" s="41">
        <f>SUMIF('прогноз на 20.05.12'!$C$7:$C$83,$C28,'прогноз на 20.05.12'!AE$7:AE$83)+SUMIF('прогноз на 20.05.12'!$C$7:$C$83,$E28,'прогноз на 20.05.12'!AE$7:AE$83)+SUMIF('прогноз на 20.05.12'!$C$7:$C$83,$G28,'прогноз на 20.05.12'!AE$7:AE$83)+SUMIF('прогноз на 20.05.12'!$C$7:$C$83,$I28,'прогноз на 20.05.12'!AE$7:AE$83)+SUMIF('прогноз на 20.05.12'!$C$7:$C$83,$K28,'прогноз на 20.05.12'!AE$7:AE$83)</f>
        <v>41.75</v>
      </c>
      <c r="AN28" s="41">
        <f>SUMIF('прогноз на 20.05.12'!$C$7:$C$83,$C28,'прогноз на 20.05.12'!AF$7:AF$83)+SUMIF('прогноз на 20.05.12'!$C$7:$C$83,$E28,'прогноз на 20.05.12'!AF$7:AF$83)+SUMIF('прогноз на 20.05.12'!$C$7:$C$83,$G28,'прогноз на 20.05.12'!AF$7:AF$83)+SUMIF('прогноз на 20.05.12'!$C$7:$C$83,$I28,'прогноз на 20.05.12'!AF$7:AF$83)+SUMIF('прогноз на 20.05.12'!$C$7:$C$83,$K28,'прогноз на 20.05.12'!AF$7:AF$83)</f>
        <v>68</v>
      </c>
      <c r="AO28" s="41">
        <f>SUMIF('прогноз на 20.05.12'!$C$7:$C$83,$C28,'прогноз на 20.05.12'!AG$7:AG$83)+SUMIF('прогноз на 20.05.12'!$C$7:$C$83,$E28,'прогноз на 20.05.12'!AG$7:AG$83)+SUMIF('прогноз на 20.05.12'!$C$7:$C$83,$G28,'прогноз на 20.05.12'!AG$7:AG$83)+SUMIF('прогноз на 20.05.12'!$C$7:$C$83,$I28,'прогноз на 20.05.12'!AG$7:AG$83)+SUMIF('прогноз на 20.05.12'!$C$7:$C$83,$K28,'прогноз на 20.05.12'!AG$7:AG$83)</f>
        <v>29.2</v>
      </c>
      <c r="AP28" s="41">
        <f>SUMIF('прогноз на 20.05.12'!$C$7:$C$83,$C28,'прогноз на 20.05.12'!AH$7:AH$83)+SUMIF('прогноз на 20.05.12'!$C$7:$C$83,$E28,'прогноз на 20.05.12'!AH$7:AH$83)+SUMIF('прогноз на 20.05.12'!$C$7:$C$83,$G28,'прогноз на 20.05.12'!AH$7:AH$83)+SUMIF('прогноз на 20.05.12'!$C$7:$C$83,$I28,'прогноз на 20.05.12'!AH$7:AH$83)+SUMIF('прогноз на 20.05.12'!$C$7:$C$83,$K28,'прогноз на 20.05.12'!AH$7:AH$83)</f>
        <v>138.94999999999999</v>
      </c>
      <c r="AQ28" s="41">
        <f>SUMIF('прогноз на 20.05.12'!$C$7:$C$83,$C28,'прогноз на 20.05.12'!AM$7:AM$83)+SUMIF('прогноз на 20.05.12'!$C$7:$C$83,$E28,'прогноз на 20.05.12'!AM$7:AM$83)+SUMIF('прогноз на 20.05.12'!$C$7:$C$83,$G28,'прогноз на 20.05.12'!AM$7:AM$83)+SUMIF('прогноз на 20.05.12'!$C$7:$C$83,$I28,'прогноз на 20.05.12'!AM$7:AM$83)+SUMIF('прогноз на 20.05.12'!$C$7:$C$83,$K28,'прогноз на 20.05.12'!AM$7:AM$83)</f>
        <v>134709.75</v>
      </c>
      <c r="AR28" s="41">
        <f>SUMIF('прогноз на 20.05.12'!$C$7:$C$83,$C28,'прогноз на 20.05.12'!AN$7:AN$83)+SUMIF('прогноз на 20.05.12'!$C$7:$C$83,$E28,'прогноз на 20.05.12'!AN$7:AN$83)+SUMIF('прогноз на 20.05.12'!$C$7:$C$83,$G28,'прогноз на 20.05.12'!AN$7:AN$83)+SUMIF('прогноз на 20.05.12'!$C$7:$C$83,$I28,'прогноз на 20.05.12'!AN$7:AN$83)+SUMIF('прогноз на 20.05.12'!$C$7:$C$83,$K28,'прогноз на 20.05.12'!AN$7:AN$83)</f>
        <v>203874</v>
      </c>
      <c r="AS28" s="41">
        <f>SUMIF('прогноз на 20.05.12'!$C$7:$C$83,$C28,'прогноз на 20.05.12'!AO$7:AO$83)+SUMIF('прогноз на 20.05.12'!$C$7:$C$83,$E28,'прогноз на 20.05.12'!AO$7:AO$83)+SUMIF('прогноз на 20.05.12'!$C$7:$C$83,$G28,'прогноз на 20.05.12'!AO$7:AO$83)+SUMIF('прогноз на 20.05.12'!$C$7:$C$83,$I28,'прогноз на 20.05.12'!AO$7:AO$83)+SUMIF('прогноз на 20.05.12'!$C$7:$C$83,$K28,'прогноз на 20.05.12'!AO$7:AO$83)</f>
        <v>7257.4000000000005</v>
      </c>
      <c r="AT28" s="41">
        <f>SUMIF('прогноз на 20.05.12'!$C$7:$C$83,$C28,'прогноз на 20.05.12'!AP$7:AP$83)+SUMIF('прогноз на 20.05.12'!$C$7:$C$83,$E28,'прогноз на 20.05.12'!AP$7:AP$83)+SUMIF('прогноз на 20.05.12'!$C$7:$C$83,$G28,'прогноз на 20.05.12'!AP$7:AP$83)+SUMIF('прогноз на 20.05.12'!$C$7:$C$83,$I28,'прогноз на 20.05.12'!AP$7:AP$83)+SUMIF('прогноз на 20.05.12'!$C$7:$C$83,$K28,'прогноз на 20.05.12'!AP$7:AP$83)</f>
        <v>345841.15</v>
      </c>
      <c r="AU28" s="41">
        <f>SUMIF('прогноз на 20.05.12'!$C$7:$C$83,$C28,'прогноз на 20.05.12'!AU$7:AU$83)+SUMIF('прогноз на 20.05.12'!$C$7:$C$83,$E28,'прогноз на 20.05.12'!AU$7:AU$83)+SUMIF('прогноз на 20.05.12'!$C$7:$C$83,$G28,'прогноз на 20.05.12'!AU$7:AU$83)+SUMIF('прогноз на 20.05.12'!$C$7:$C$83,$I28,'прогноз на 20.05.12'!AU$7:AU$83)+SUMIF('прогноз на 20.05.12'!$C$7:$C$83,$K28,'прогноз на 20.05.12'!AU$7:AU$83)</f>
        <v>8538.75</v>
      </c>
      <c r="AV28" s="41">
        <f>SUMIF('прогноз на 20.05.12'!$C$7:$C$83,$C28,'прогноз на 20.05.12'!AV$7:AV$83)+SUMIF('прогноз на 20.05.12'!$C$7:$C$83,$E28,'прогноз на 20.05.12'!AV$7:AV$83)+SUMIF('прогноз на 20.05.12'!$C$7:$C$83,$G28,'прогноз на 20.05.12'!AV$7:AV$83)+SUMIF('прогноз на 20.05.12'!$C$7:$C$83,$I28,'прогноз на 20.05.12'!AV$7:AV$83)+SUMIF('прогноз на 20.05.12'!$C$7:$C$83,$K28,'прогноз на 20.05.12'!AV$7:AV$83)</f>
        <v>8646</v>
      </c>
      <c r="AW28" s="41">
        <f>SUMIF('прогноз на 20.05.12'!$C$7:$C$83,$C28,'прогноз на 20.05.12'!AW$7:AW$83)+SUMIF('прогноз на 20.05.12'!$C$7:$C$83,$E28,'прогноз на 20.05.12'!AW$7:AW$83)+SUMIF('прогноз на 20.05.12'!$C$7:$C$83,$G28,'прогноз на 20.05.12'!AW$7:AW$83)+SUMIF('прогноз на 20.05.12'!$C$7:$C$83,$I28,'прогноз на 20.05.12'!AW$7:AW$83)+SUMIF('прогноз на 20.05.12'!$C$7:$C$83,$K28,'прогноз на 20.05.12'!AW$7:AW$83)</f>
        <v>365.40000000000003</v>
      </c>
      <c r="AX28" s="41">
        <f>SUMIF('прогноз на 20.05.12'!$C$7:$C$83,$C28,'прогноз на 20.05.12'!AX$7:AX$83)+SUMIF('прогноз на 20.05.12'!$C$7:$C$83,$E28,'прогноз на 20.05.12'!AX$7:AX$83)+SUMIF('прогноз на 20.05.12'!$C$7:$C$83,$G28,'прогноз на 20.05.12'!AX$7:AX$83)+SUMIF('прогноз на 20.05.12'!$C$7:$C$83,$I28,'прогноз на 20.05.12'!AX$7:AX$83)+SUMIF('прогноз на 20.05.12'!$C$7:$C$83,$K28,'прогноз на 20.05.12'!AX$7:AX$83)</f>
        <v>17550.150000000001</v>
      </c>
      <c r="AY28" s="41">
        <f>SUMIF('прогноз на 20.05.12'!$C$7:$C$83,$C28,'прогноз на 20.05.12'!AY$7:AY$83)+SUMIF('прогноз на 20.05.12'!$C$7:$C$83,$E28,'прогноз на 20.05.12'!AY$7:AY$83)+SUMIF('прогноз на 20.05.12'!$C$7:$C$83,$G28,'прогноз на 20.05.12'!AY$7:AY$83)+SUMIF('прогноз на 20.05.12'!$C$7:$C$83,$I28,'прогноз на 20.05.12'!AY$7:AY$83)+SUMIF('прогноз на 20.05.12'!$C$7:$C$83,$K28,'прогноз на 20.05.12'!AY$7:AY$83)</f>
        <v>143248.5</v>
      </c>
      <c r="AZ28" s="41">
        <f>SUMIF('прогноз на 20.05.12'!$C$7:$C$83,$C28,'прогноз на 20.05.12'!AZ$7:AZ$83)+SUMIF('прогноз на 20.05.12'!$C$7:$C$83,$E28,'прогноз на 20.05.12'!AZ$7:AZ$83)+SUMIF('прогноз на 20.05.12'!$C$7:$C$83,$G28,'прогноз на 20.05.12'!AZ$7:AZ$83)+SUMIF('прогноз на 20.05.12'!$C$7:$C$83,$I28,'прогноз на 20.05.12'!AZ$7:AZ$83)+SUMIF('прогноз на 20.05.12'!$C$7:$C$83,$K28,'прогноз на 20.05.12'!AZ$7:AZ$83)</f>
        <v>212520</v>
      </c>
      <c r="BA28" s="41">
        <f>SUMIF('прогноз на 20.05.12'!$C$7:$C$83,$C28,'прогноз на 20.05.12'!BA$7:BA$83)+SUMIF('прогноз на 20.05.12'!$C$7:$C$83,$E28,'прогноз на 20.05.12'!BA$7:BA$83)+SUMIF('прогноз на 20.05.12'!$C$7:$C$83,$G28,'прогноз на 20.05.12'!BA$7:BA$83)+SUMIF('прогноз на 20.05.12'!$C$7:$C$83,$I28,'прогноз на 20.05.12'!BA$7:BA$83)+SUMIF('прогноз на 20.05.12'!$C$7:$C$83,$K28,'прогноз на 20.05.12'!BA$7:BA$83)</f>
        <v>7622.8</v>
      </c>
      <c r="BB28" s="41">
        <f>SUMIF('прогноз на 20.05.12'!$C$7:$C$83,$C28,'прогноз на 20.05.12'!BB$7:BB$83)+SUMIF('прогноз на 20.05.12'!$C$7:$C$83,$E28,'прогноз на 20.05.12'!BB$7:BB$83)+SUMIF('прогноз на 20.05.12'!$C$7:$C$83,$G28,'прогноз на 20.05.12'!BB$7:BB$83)+SUMIF('прогноз на 20.05.12'!$C$7:$C$83,$I28,'прогноз на 20.05.12'!BB$7:BB$83)+SUMIF('прогноз на 20.05.12'!$C$7:$C$83,$K28,'прогноз на 20.05.12'!BB$7:BB$83)</f>
        <v>363391.3</v>
      </c>
      <c r="BC28" s="41">
        <f>SUMIF('прогноз на 20.05.12'!$C$7:$C$83,$C28,'прогноз на 20.05.12'!BC$7:BC$83)+SUMIF('прогноз на 20.05.12'!$C$7:$C$83,$E28,'прогноз на 20.05.12'!BC$7:BC$83)+SUMIF('прогноз на 20.05.12'!$C$7:$C$83,$G28,'прогноз на 20.05.12'!BC$7:BC$83)+SUMIF('прогноз на 20.05.12'!$C$7:$C$83,$I28,'прогноз на 20.05.12'!BC$7:BC$83)+SUMIF('прогноз на 20.05.12'!$C$7:$C$83,$K28,'прогноз на 20.05.12'!BC$7:BC$83)</f>
        <v>1419911</v>
      </c>
      <c r="BD28" s="41">
        <f>SUMIF('прогноз на 20.05.12'!$C$7:$C$83,$C28,'прогноз на 20.05.12'!BD$7:BD$83)+SUMIF('прогноз на 20.05.12'!$C$7:$C$83,$E28,'прогноз на 20.05.12'!BD$7:BD$83)+SUMIF('прогноз на 20.05.12'!$C$7:$C$83,$G28,'прогноз на 20.05.12'!BD$7:BD$83)+SUMIF('прогноз на 20.05.12'!$C$7:$C$83,$I28,'прогноз на 20.05.12'!BD$7:BD$83)+SUMIF('прогноз на 20.05.12'!$C$7:$C$83,$K28,'прогноз на 20.05.12'!BD$7:BD$83)</f>
        <v>1419911</v>
      </c>
      <c r="BE28" s="41">
        <f>SUMIF('прогноз на 20.05.12'!$C$7:$C$83,$C28,'прогноз на 20.05.12'!BE$7:BE$83)+SUMIF('прогноз на 20.05.12'!$C$7:$C$83,$E28,'прогноз на 20.05.12'!BE$7:BE$83)+SUMIF('прогноз на 20.05.12'!$C$7:$C$83,$G28,'прогноз на 20.05.12'!BE$7:BE$83)+SUMIF('прогноз на 20.05.12'!$C$7:$C$83,$I28,'прогноз на 20.05.12'!BE$7:BE$83)+SUMIF('прогноз на 20.05.12'!$C$7:$C$83,$K28,'прогноз на 20.05.12'!BE$7:BE$83)</f>
        <v>0</v>
      </c>
      <c r="BF28" s="41">
        <f>SUMIF('прогноз на 20.05.12'!$C$7:$C$83,$C28,'прогноз на 20.05.12'!BF$7:BF$83)+SUMIF('прогноз на 20.05.12'!$C$7:$C$83,$E28,'прогноз на 20.05.12'!BF$7:BF$83)+SUMIF('прогноз на 20.05.12'!$C$7:$C$83,$G28,'прогноз на 20.05.12'!BF$7:BF$83)+SUMIF('прогноз на 20.05.12'!$C$7:$C$83,$I28,'прогноз на 20.05.12'!BF$7:BF$83)+SUMIF('прогноз на 20.05.12'!$C$7:$C$83,$K28,'прогноз на 20.05.12'!BF$7:BF$83)</f>
        <v>1056519.7</v>
      </c>
      <c r="BG28" s="41">
        <f>SUMIF('прогноз на 20.05.12'!$C$7:$C$83,$C28,'прогноз на 20.05.12'!BG$7:BG$83)+SUMIF('прогноз на 20.05.12'!$C$7:$C$83,$E28,'прогноз на 20.05.12'!BG$7:BG$83)+SUMIF('прогноз на 20.05.12'!$C$7:$C$83,$G28,'прогноз на 20.05.12'!BG$7:BG$83)+SUMIF('прогноз на 20.05.12'!$C$7:$C$83,$I28,'прогноз на 20.05.12'!BG$7:BG$83)+SUMIF('прогноз на 20.05.12'!$C$7:$C$83,$K28,'прогноз на 20.05.12'!BG$7:BG$83)</f>
        <v>1056519.7</v>
      </c>
      <c r="BH28" s="41">
        <f>SUMIF('прогноз на 20.05.12'!$C$7:$C$83,$C28,'прогноз на 20.05.12'!BH$7:BH$83)+SUMIF('прогноз на 20.05.12'!$C$7:$C$83,$E28,'прогноз на 20.05.12'!BH$7:BH$83)+SUMIF('прогноз на 20.05.12'!$C$7:$C$83,$G28,'прогноз на 20.05.12'!BH$7:BH$83)+SUMIF('прогноз на 20.05.12'!$C$7:$C$83,$I28,'прогноз на 20.05.12'!BH$7:BH$83)+SUMIF('прогноз на 20.05.12'!$C$7:$C$83,$K28,'прогноз на 20.05.12'!BH$7:BH$83)</f>
        <v>0</v>
      </c>
      <c r="BI28" s="90">
        <f t="shared" si="10"/>
        <v>5.833333333333333</v>
      </c>
      <c r="BJ28" s="90">
        <f t="shared" si="11"/>
        <v>12.4</v>
      </c>
      <c r="BK28" s="90">
        <f t="shared" si="12"/>
        <v>14.5</v>
      </c>
      <c r="BL28" s="90">
        <f t="shared" si="13"/>
        <v>9.6923076923076916</v>
      </c>
    </row>
    <row r="29" spans="1:64" s="59" customFormat="1" ht="18.75">
      <c r="A29" s="38">
        <v>23</v>
      </c>
      <c r="B29" s="39" t="s">
        <v>66</v>
      </c>
      <c r="C29" s="40" t="s">
        <v>228</v>
      </c>
      <c r="D29" s="56" t="s">
        <v>13</v>
      </c>
      <c r="E29" s="56" t="s">
        <v>194</v>
      </c>
      <c r="F29" s="56" t="s">
        <v>35</v>
      </c>
      <c r="G29" s="56" t="s">
        <v>238</v>
      </c>
      <c r="H29" s="58"/>
      <c r="I29" s="58"/>
      <c r="J29" s="58"/>
      <c r="K29" s="58"/>
      <c r="L29" s="41">
        <f>SUMIF('прогноз на 20.05.12'!$C$7:$C$83,$C29,'прогноз на 20.05.12'!D$7:D$83)+SUMIF('прогноз на 20.05.12'!$C$7:$C$83,$E29,'прогноз на 20.05.12'!D$7:D$83)+SUMIF('прогноз на 20.05.12'!$C$7:$C$83,$G29,'прогноз на 20.05.12'!D$7:D$83)+SUMIF('прогноз на 20.05.12'!$C$7:$C$83,$I29,'прогноз на 20.05.12'!D$7:D$83)+SUMIF('прогноз на 20.05.12'!$C$7:$C$83,$K29,'прогноз на 20.05.12'!D$7:D$83)</f>
        <v>30</v>
      </c>
      <c r="M29" s="41">
        <f>SUMIF('прогноз на 20.05.12'!$C$7:$C$83,$C29,'прогноз на 20.05.12'!E$7:E$83)+SUMIF('прогноз на 20.05.12'!$C$7:$C$83,$E29,'прогноз на 20.05.12'!E$7:E$83)+SUMIF('прогноз на 20.05.12'!$C$7:$C$83,$G29,'прогноз на 20.05.12'!E$7:E$83)+SUMIF('прогноз на 20.05.12'!$C$7:$C$83,$I29,'прогноз на 20.05.12'!E$7:E$83)+SUMIF('прогноз на 20.05.12'!$C$7:$C$83,$K29,'прогноз на 20.05.12'!E$7:E$83)</f>
        <v>47</v>
      </c>
      <c r="N29" s="41">
        <f>SUMIF('прогноз на 20.05.12'!$C$7:$C$83,$C29,'прогноз на 20.05.12'!F$7:F$83)+SUMIF('прогноз на 20.05.12'!$C$7:$C$83,$E29,'прогноз на 20.05.12'!F$7:F$83)+SUMIF('прогноз на 20.05.12'!$C$7:$C$83,$G29,'прогноз на 20.05.12'!F$7:F$83)+SUMIF('прогноз на 20.05.12'!$C$7:$C$83,$I29,'прогноз на 20.05.12'!F$7:F$83)+SUMIF('прогноз на 20.05.12'!$C$7:$C$83,$K29,'прогноз на 20.05.12'!F$7:F$83)</f>
        <v>28</v>
      </c>
      <c r="O29" s="44">
        <f t="shared" si="6"/>
        <v>105</v>
      </c>
      <c r="P29" s="41">
        <f>SUMIF('прогноз на 20.05.12'!$C$7:$C$83,$C29,'прогноз на 20.05.12'!H$7:H$83)+SUMIF('прогноз на 20.05.12'!$C$7:$C$83,$E29,'прогноз на 20.05.12'!H$7:H$83)+SUMIF('прогноз на 20.05.12'!$C$7:$C$83,$G29,'прогноз на 20.05.12'!H$7:H$83)+SUMIF('прогноз на 20.05.12'!$C$7:$C$83,$I29,'прогноз на 20.05.12'!H$7:H$83)+SUMIF('прогноз на 20.05.12'!$C$7:$C$83,$K29,'прогноз на 20.05.12'!H$7:H$83)</f>
        <v>5</v>
      </c>
      <c r="Q29" s="41">
        <f>SUMIF('прогноз на 20.05.12'!$C$7:$C$83,$C29,'прогноз на 20.05.12'!I$7:I$83)+SUMIF('прогноз на 20.05.12'!$C$7:$C$83,$E29,'прогноз на 20.05.12'!I$7:I$83)+SUMIF('прогноз на 20.05.12'!$C$7:$C$83,$G29,'прогноз на 20.05.12'!I$7:I$83)+SUMIF('прогноз на 20.05.12'!$C$7:$C$83,$I29,'прогноз на 20.05.12'!I$7:I$83)+SUMIF('прогноз на 20.05.12'!$C$7:$C$83,$K29,'прогноз на 20.05.12'!I$7:I$83)</f>
        <v>5</v>
      </c>
      <c r="R29" s="41">
        <f>SUMIF('прогноз на 20.05.12'!$C$7:$C$83,$C29,'прогноз на 20.05.12'!J$7:J$83)+SUMIF('прогноз на 20.05.12'!$C$7:$C$83,$E29,'прогноз на 20.05.12'!J$7:J$83)+SUMIF('прогноз на 20.05.12'!$C$7:$C$83,$G29,'прогноз на 20.05.12'!J$7:J$83)+SUMIF('прогноз на 20.05.12'!$C$7:$C$83,$I29,'прогноз на 20.05.12'!J$7:J$83)+SUMIF('прогноз на 20.05.12'!$C$7:$C$83,$K29,'прогноз на 20.05.12'!J$7:J$83)</f>
        <v>2</v>
      </c>
      <c r="S29" s="45">
        <f t="shared" si="7"/>
        <v>12</v>
      </c>
      <c r="T29" s="41">
        <f>SUMIF('прогноз на 20.05.12'!$C$7:$C$83,$C29,'прогноз на 20.05.12'!L$7:L$83)+SUMIF('прогноз на 20.05.12'!$C$7:$C$83,$E29,'прогноз на 20.05.12'!L$7:L$83)+SUMIF('прогноз на 20.05.12'!$C$7:$C$83,$G29,'прогноз на 20.05.12'!L$7:L$83)+SUMIF('прогноз на 20.05.12'!$C$7:$C$83,$I29,'прогноз на 20.05.12'!L$7:L$83)+SUMIF('прогноз на 20.05.12'!$C$7:$C$83,$K29,'прогноз на 20.05.12'!L$7:L$83)</f>
        <v>0</v>
      </c>
      <c r="U29" s="41">
        <f>SUMIF('прогноз на 20.05.12'!$C$7:$C$83,$C29,'прогноз на 20.05.12'!M$7:M$83)+SUMIF('прогноз на 20.05.12'!$C$7:$C$83,$E29,'прогноз на 20.05.12'!M$7:M$83)+SUMIF('прогноз на 20.05.12'!$C$7:$C$83,$G29,'прогноз на 20.05.12'!M$7:M$83)+SUMIF('прогноз на 20.05.12'!$C$7:$C$83,$I29,'прогноз на 20.05.12'!M$7:M$83)+SUMIF('прогноз на 20.05.12'!$C$7:$C$83,$K29,'прогноз на 20.05.12'!M$7:M$83)</f>
        <v>0</v>
      </c>
      <c r="V29" s="41">
        <f>SUMIF('прогноз на 20.05.12'!$C$7:$C$83,$C29,'прогноз на 20.05.12'!N$7:N$83)+SUMIF('прогноз на 20.05.12'!$C$7:$C$83,$E29,'прогноз на 20.05.12'!N$7:N$83)+SUMIF('прогноз на 20.05.12'!$C$7:$C$83,$G29,'прогноз на 20.05.12'!N$7:N$83)+SUMIF('прогноз на 20.05.12'!$C$7:$C$83,$I29,'прогноз на 20.05.12'!N$7:N$83)+SUMIF('прогноз на 20.05.12'!$C$7:$C$83,$K29,'прогноз на 20.05.12'!N$7:N$83)</f>
        <v>1</v>
      </c>
      <c r="W29" s="45">
        <f t="shared" si="8"/>
        <v>1</v>
      </c>
      <c r="X29" s="41">
        <f>SUMIF('прогноз на 20.05.12'!$C$7:$C$83,$C29,'прогноз на 20.05.12'!P$7:P$83)+SUMIF('прогноз на 20.05.12'!$C$7:$C$83,$E29,'прогноз на 20.05.12'!P$7:P$83)+SUMIF('прогноз на 20.05.12'!$C$7:$C$83,$G29,'прогноз на 20.05.12'!P$7:P$83)+SUMIF('прогноз на 20.05.12'!$C$7:$C$83,$I29,'прогноз на 20.05.12'!P$7:P$83)+SUMIF('прогноз на 20.05.12'!$C$7:$C$83,$K29,'прогноз на 20.05.12'!P$7:P$83)</f>
        <v>0</v>
      </c>
      <c r="Y29" s="41">
        <f>SUMIF('прогноз на 20.05.12'!$C$7:$C$83,$C29,'прогноз на 20.05.12'!Q$7:Q$83)+SUMIF('прогноз на 20.05.12'!$C$7:$C$83,$E29,'прогноз на 20.05.12'!Q$7:Q$83)+SUMIF('прогноз на 20.05.12'!$C$7:$C$83,$G29,'прогноз на 20.05.12'!Q$7:Q$83)+SUMIF('прогноз на 20.05.12'!$C$7:$C$83,$I29,'прогноз на 20.05.12'!Q$7:Q$83)+SUMIF('прогноз на 20.05.12'!$C$7:$C$83,$K29,'прогноз на 20.05.12'!Q$7:Q$83)</f>
        <v>0</v>
      </c>
      <c r="Z29" s="45"/>
      <c r="AA29" s="41">
        <f>SUMIF('прогноз на 20.05.12'!$C$7:$C$83,$C29,'прогноз на 20.05.12'!S$7:S$83)+SUMIF('прогноз на 20.05.12'!$C$7:$C$83,$E29,'прогноз на 20.05.12'!S$7:S$83)+SUMIF('прогноз на 20.05.12'!$C$7:$C$83,$G29,'прогноз на 20.05.12'!S$7:S$83)+SUMIF('прогноз на 20.05.12'!$C$7:$C$83,$I29,'прогноз на 20.05.12'!S$7:S$83)+SUMIF('прогноз на 20.05.12'!$C$7:$C$83,$K29,'прогноз на 20.05.12'!S$7:S$83)</f>
        <v>42</v>
      </c>
      <c r="AB29" s="41">
        <f>SUMIF('прогноз на 20.05.12'!$C$7:$C$83,$C29,'прогноз на 20.05.12'!T$7:T$83)+SUMIF('прогноз на 20.05.12'!$C$7:$C$83,$E29,'прогноз на 20.05.12'!T$7:T$83)+SUMIF('прогноз на 20.05.12'!$C$7:$C$83,$G29,'прогноз на 20.05.12'!T$7:T$83)+SUMIF('прогноз на 20.05.12'!$C$7:$C$83,$I29,'прогноз на 20.05.12'!T$7:T$83)+SUMIF('прогноз на 20.05.12'!$C$7:$C$83,$K29,'прогноз на 20.05.12'!T$7:T$83)</f>
        <v>70</v>
      </c>
      <c r="AC29" s="41">
        <f>SUMIF('прогноз на 20.05.12'!$C$7:$C$83,$C29,'прогноз на 20.05.12'!U$7:U$83)+SUMIF('прогноз на 20.05.12'!$C$7:$C$83,$E29,'прогноз на 20.05.12'!U$7:U$83)+SUMIF('прогноз на 20.05.12'!$C$7:$C$83,$G29,'прогноз на 20.05.12'!U$7:U$83)+SUMIF('прогноз на 20.05.12'!$C$7:$C$83,$I29,'прогноз на 20.05.12'!U$7:U$83)+SUMIF('прогноз на 20.05.12'!$C$7:$C$83,$K29,'прогноз на 20.05.12'!U$7:U$83)</f>
        <v>28</v>
      </c>
      <c r="AD29" s="41">
        <f>SUMIF('прогноз на 20.05.12'!$C$7:$C$83,$C29,'прогноз на 20.05.12'!V$7:V$83)+SUMIF('прогноз на 20.05.12'!$C$7:$C$83,$E29,'прогноз на 20.05.12'!V$7:V$83)+SUMIF('прогноз на 20.05.12'!$C$7:$C$83,$G29,'прогноз на 20.05.12'!V$7:V$83)+SUMIF('прогноз на 20.05.12'!$C$7:$C$83,$I29,'прогноз на 20.05.12'!V$7:V$83)+SUMIF('прогноз на 20.05.12'!$C$7:$C$83,$K29,'прогноз на 20.05.12'!V$7:V$83)</f>
        <v>140</v>
      </c>
      <c r="AE29" s="41">
        <f>SUMIF('прогноз на 20.05.12'!$C$7:$C$83,$C29,'прогноз на 20.05.12'!W$7:W$83)+SUMIF('прогноз на 20.05.12'!$C$7:$C$83,$E29,'прогноз на 20.05.12'!W$7:W$83)+SUMIF('прогноз на 20.05.12'!$C$7:$C$83,$G29,'прогноз на 20.05.12'!W$7:W$83)+SUMIF('прогноз на 20.05.12'!$C$7:$C$83,$I29,'прогноз на 20.05.12'!W$7:W$83)+SUMIF('прогноз на 20.05.12'!$C$7:$C$83,$K29,'прогноз на 20.05.12'!W$7:W$83)</f>
        <v>12</v>
      </c>
      <c r="AF29" s="41">
        <f>SUMIF('прогноз на 20.05.12'!$C$7:$C$83,$C29,'прогноз на 20.05.12'!X$7:X$83)+SUMIF('прогноз на 20.05.12'!$C$7:$C$83,$E29,'прогноз на 20.05.12'!X$7:X$83)+SUMIF('прогноз на 20.05.12'!$C$7:$C$83,$G29,'прогноз на 20.05.12'!X$7:X$83)+SUMIF('прогноз на 20.05.12'!$C$7:$C$83,$I29,'прогноз на 20.05.12'!X$7:X$83)+SUMIF('прогноз на 20.05.12'!$C$7:$C$83,$K29,'прогноз на 20.05.12'!X$7:X$83)</f>
        <v>23</v>
      </c>
      <c r="AG29" s="41">
        <f>SUMIF('прогноз на 20.05.12'!$C$7:$C$83,$C29,'прогноз на 20.05.12'!Y$7:Y$83)+SUMIF('прогноз на 20.05.12'!$C$7:$C$83,$E29,'прогноз на 20.05.12'!Y$7:Y$83)+SUMIF('прогноз на 20.05.12'!$C$7:$C$83,$G29,'прогноз на 20.05.12'!Y$7:Y$83)+SUMIF('прогноз на 20.05.12'!$C$7:$C$83,$I29,'прогноз на 20.05.12'!Y$7:Y$83)+SUMIF('прогноз на 20.05.12'!$C$7:$C$83,$K29,'прогноз на 20.05.12'!Y$7:Y$83)</f>
        <v>0</v>
      </c>
      <c r="AH29" s="41">
        <f>SUMIF('прогноз на 20.05.12'!$C$7:$C$83,$C29,'прогноз на 20.05.12'!Z$7:Z$83)+SUMIF('прогноз на 20.05.12'!$C$7:$C$83,$E29,'прогноз на 20.05.12'!Z$7:Z$83)+SUMIF('прогноз на 20.05.12'!$C$7:$C$83,$G29,'прогноз на 20.05.12'!Z$7:Z$83)+SUMIF('прогноз на 20.05.12'!$C$7:$C$83,$I29,'прогноз на 20.05.12'!Z$7:Z$83)+SUMIF('прогноз на 20.05.12'!$C$7:$C$83,$K29,'прогноз на 20.05.12'!Z$7:Z$83)</f>
        <v>35</v>
      </c>
      <c r="AI29" s="41">
        <f>SUMIF('прогноз на 20.05.12'!$C$7:$C$83,$C29,'прогноз на 20.05.12'!AA$7:AA$83)+SUMIF('прогноз на 20.05.12'!$C$7:$C$83,$E29,'прогноз на 20.05.12'!AA$7:AA$83)+SUMIF('прогноз на 20.05.12'!$C$7:$C$83,$G29,'прогноз на 20.05.12'!AA$7:AA$83)+SUMIF('прогноз на 20.05.12'!$C$7:$C$83,$I29,'прогноз на 20.05.12'!AA$7:AA$83)+SUMIF('прогноз на 20.05.12'!$C$7:$C$83,$K29,'прогноз на 20.05.12'!AA$7:AA$83)</f>
        <v>9</v>
      </c>
      <c r="AJ29" s="41">
        <f>SUMIF('прогноз на 20.05.12'!$C$7:$C$83,$C29,'прогноз на 20.05.12'!AB$7:AB$83)+SUMIF('прогноз на 20.05.12'!$C$7:$C$83,$E29,'прогноз на 20.05.12'!AB$7:AB$83)+SUMIF('прогноз на 20.05.12'!$C$7:$C$83,$G29,'прогноз на 20.05.12'!AB$7:AB$83)+SUMIF('прогноз на 20.05.12'!$C$7:$C$83,$I29,'прогноз на 20.05.12'!AB$7:AB$83)+SUMIF('прогноз на 20.05.12'!$C$7:$C$83,$K29,'прогноз на 20.05.12'!AB$7:AB$83)</f>
        <v>17.25</v>
      </c>
      <c r="AK29" s="41">
        <f>SUMIF('прогноз на 20.05.12'!$C$7:$C$83,$C29,'прогноз на 20.05.12'!AC$7:AC$83)+SUMIF('прогноз на 20.05.12'!$C$7:$C$83,$E29,'прогноз на 20.05.12'!AC$7:AC$83)+SUMIF('прогноз на 20.05.12'!$C$7:$C$83,$G29,'прогноз на 20.05.12'!AC$7:AC$83)+SUMIF('прогноз на 20.05.12'!$C$7:$C$83,$I29,'прогноз на 20.05.12'!AC$7:AC$83)+SUMIF('прогноз на 20.05.12'!$C$7:$C$83,$K29,'прогноз на 20.05.12'!AC$7:AC$83)</f>
        <v>0</v>
      </c>
      <c r="AL29" s="41">
        <f>SUMIF('прогноз на 20.05.12'!$C$7:$C$83,$C29,'прогноз на 20.05.12'!AD$7:AD$83)+SUMIF('прогноз на 20.05.12'!$C$7:$C$83,$E29,'прогноз на 20.05.12'!AD$7:AD$83)+SUMIF('прогноз на 20.05.12'!$C$7:$C$83,$G29,'прогноз на 20.05.12'!AD$7:AD$83)+SUMIF('прогноз на 20.05.12'!$C$7:$C$83,$I29,'прогноз на 20.05.12'!AD$7:AD$83)+SUMIF('прогноз на 20.05.12'!$C$7:$C$83,$K29,'прогноз на 20.05.12'!AD$7:AD$83)</f>
        <v>26.25</v>
      </c>
      <c r="AM29" s="41">
        <f>SUMIF('прогноз на 20.05.12'!$C$7:$C$83,$C29,'прогноз на 20.05.12'!AE$7:AE$83)+SUMIF('прогноз на 20.05.12'!$C$7:$C$83,$E29,'прогноз на 20.05.12'!AE$7:AE$83)+SUMIF('прогноз на 20.05.12'!$C$7:$C$83,$G29,'прогноз на 20.05.12'!AE$7:AE$83)+SUMIF('прогноз на 20.05.12'!$C$7:$C$83,$I29,'прогноз на 20.05.12'!AE$7:AE$83)+SUMIF('прогноз на 20.05.12'!$C$7:$C$83,$K29,'прогноз на 20.05.12'!AE$7:AE$83)</f>
        <v>39</v>
      </c>
      <c r="AN29" s="41">
        <f>SUMIF('прогноз на 20.05.12'!$C$7:$C$83,$C29,'прогноз на 20.05.12'!AF$7:AF$83)+SUMIF('прогноз на 20.05.12'!$C$7:$C$83,$E29,'прогноз на 20.05.12'!AF$7:AF$83)+SUMIF('прогноз на 20.05.12'!$C$7:$C$83,$G29,'прогноз на 20.05.12'!AF$7:AF$83)+SUMIF('прогноз на 20.05.12'!$C$7:$C$83,$I29,'прогноз на 20.05.12'!AF$7:AF$83)+SUMIF('прогноз на 20.05.12'!$C$7:$C$83,$K29,'прогноз на 20.05.12'!AF$7:AF$83)</f>
        <v>64.25</v>
      </c>
      <c r="AO29" s="41">
        <f>SUMIF('прогноз на 20.05.12'!$C$7:$C$83,$C29,'прогноз на 20.05.12'!AG$7:AG$83)+SUMIF('прогноз на 20.05.12'!$C$7:$C$83,$E29,'прогноз на 20.05.12'!AG$7:AG$83)+SUMIF('прогноз на 20.05.12'!$C$7:$C$83,$G29,'прогноз на 20.05.12'!AG$7:AG$83)+SUMIF('прогноз на 20.05.12'!$C$7:$C$83,$I29,'прогноз на 20.05.12'!AG$7:AG$83)+SUMIF('прогноз на 20.05.12'!$C$7:$C$83,$K29,'прогноз на 20.05.12'!AG$7:AG$83)</f>
        <v>28</v>
      </c>
      <c r="AP29" s="41">
        <f>SUMIF('прогноз на 20.05.12'!$C$7:$C$83,$C29,'прогноз на 20.05.12'!AH$7:AH$83)+SUMIF('прогноз на 20.05.12'!$C$7:$C$83,$E29,'прогноз на 20.05.12'!AH$7:AH$83)+SUMIF('прогноз на 20.05.12'!$C$7:$C$83,$G29,'прогноз на 20.05.12'!AH$7:AH$83)+SUMIF('прогноз на 20.05.12'!$C$7:$C$83,$I29,'прогноз на 20.05.12'!AH$7:AH$83)+SUMIF('прогноз на 20.05.12'!$C$7:$C$83,$K29,'прогноз на 20.05.12'!AH$7:AH$83)</f>
        <v>131.25</v>
      </c>
      <c r="AQ29" s="41">
        <f>SUMIF('прогноз на 20.05.12'!$C$7:$C$83,$C29,'прогноз на 20.05.12'!AM$7:AM$83)+SUMIF('прогноз на 20.05.12'!$C$7:$C$83,$E29,'прогноз на 20.05.12'!AM$7:AM$83)+SUMIF('прогноз на 20.05.12'!$C$7:$C$83,$G29,'прогноз на 20.05.12'!AM$7:AM$83)+SUMIF('прогноз на 20.05.12'!$C$7:$C$83,$I29,'прогноз на 20.05.12'!AM$7:AM$83)+SUMIF('прогноз на 20.05.12'!$C$7:$C$83,$K29,'прогноз на 20.05.12'!AM$7:AM$83)</f>
        <v>179613</v>
      </c>
      <c r="AR29" s="41">
        <f>SUMIF('прогноз на 20.05.12'!$C$7:$C$83,$C29,'прогноз на 20.05.12'!AN$7:AN$83)+SUMIF('прогноз на 20.05.12'!$C$7:$C$83,$E29,'прогноз на 20.05.12'!AN$7:AN$83)+SUMIF('прогноз на 20.05.12'!$C$7:$C$83,$G29,'прогноз на 20.05.12'!AN$7:AN$83)+SUMIF('прогноз на 20.05.12'!$C$7:$C$83,$I29,'прогноз на 20.05.12'!AN$7:AN$83)+SUMIF('прогноз на 20.05.12'!$C$7:$C$83,$K29,'прогноз на 20.05.12'!AN$7:AN$83)</f>
        <v>586137.75</v>
      </c>
      <c r="AS29" s="41">
        <f>SUMIF('прогноз на 20.05.12'!$C$7:$C$83,$C29,'прогноз на 20.05.12'!AO$7:AO$83)+SUMIF('прогноз на 20.05.12'!$C$7:$C$83,$E29,'прогноз на 20.05.12'!AO$7:AO$83)+SUMIF('прогноз на 20.05.12'!$C$7:$C$83,$G29,'прогноз на 20.05.12'!AO$7:AO$83)+SUMIF('прогноз на 20.05.12'!$C$7:$C$83,$I29,'прогноз на 20.05.12'!AO$7:AO$83)+SUMIF('прогноз на 20.05.12'!$C$7:$C$83,$K29,'прогноз на 20.05.12'!AO$7:AO$83)</f>
        <v>0</v>
      </c>
      <c r="AT29" s="41">
        <f>SUMIF('прогноз на 20.05.12'!$C$7:$C$83,$C29,'прогноз на 20.05.12'!AP$7:AP$83)+SUMIF('прогноз на 20.05.12'!$C$7:$C$83,$E29,'прогноз на 20.05.12'!AP$7:AP$83)+SUMIF('прогноз на 20.05.12'!$C$7:$C$83,$G29,'прогноз на 20.05.12'!AP$7:AP$83)+SUMIF('прогноз на 20.05.12'!$C$7:$C$83,$I29,'прогноз на 20.05.12'!AP$7:AP$83)+SUMIF('прогноз на 20.05.12'!$C$7:$C$83,$K29,'прогноз на 20.05.12'!AP$7:AP$83)</f>
        <v>765750.75</v>
      </c>
      <c r="AU29" s="41">
        <f>SUMIF('прогноз на 20.05.12'!$C$7:$C$83,$C29,'прогноз на 20.05.12'!AU$7:AU$83)+SUMIF('прогноз на 20.05.12'!$C$7:$C$83,$E29,'прогноз на 20.05.12'!AU$7:AU$83)+SUMIF('прогноз на 20.05.12'!$C$7:$C$83,$G29,'прогноз на 20.05.12'!AU$7:AU$83)+SUMIF('прогноз на 20.05.12'!$C$7:$C$83,$I29,'прогноз на 20.05.12'!AU$7:AU$83)+SUMIF('прогноз на 20.05.12'!$C$7:$C$83,$K29,'прогноз на 20.05.12'!AU$7:AU$83)</f>
        <v>11385</v>
      </c>
      <c r="AV29" s="41">
        <f>SUMIF('прогноз на 20.05.12'!$C$7:$C$83,$C29,'прогноз на 20.05.12'!AV$7:AV$83)+SUMIF('прогноз на 20.05.12'!$C$7:$C$83,$E29,'прогноз на 20.05.12'!AV$7:AV$83)+SUMIF('прогноз на 20.05.12'!$C$7:$C$83,$G29,'прогноз на 20.05.12'!AV$7:AV$83)+SUMIF('прогноз на 20.05.12'!$C$7:$C$83,$I29,'прогноз на 20.05.12'!AV$7:AV$83)+SUMIF('прогноз на 20.05.12'!$C$7:$C$83,$K29,'прогноз на 20.05.12'!AV$7:AV$83)</f>
        <v>24857.25</v>
      </c>
      <c r="AW29" s="41">
        <f>SUMIF('прогноз на 20.05.12'!$C$7:$C$83,$C29,'прогноз на 20.05.12'!AW$7:AW$83)+SUMIF('прогноз на 20.05.12'!$C$7:$C$83,$E29,'прогноз на 20.05.12'!AW$7:AW$83)+SUMIF('прогноз на 20.05.12'!$C$7:$C$83,$G29,'прогноз на 20.05.12'!AW$7:AW$83)+SUMIF('прогноз на 20.05.12'!$C$7:$C$83,$I29,'прогноз на 20.05.12'!AW$7:AW$83)+SUMIF('прогноз на 20.05.12'!$C$7:$C$83,$K29,'прогноз на 20.05.12'!AW$7:AW$83)</f>
        <v>0</v>
      </c>
      <c r="AX29" s="41">
        <f>SUMIF('прогноз на 20.05.12'!$C$7:$C$83,$C29,'прогноз на 20.05.12'!AX$7:AX$83)+SUMIF('прогноз на 20.05.12'!$C$7:$C$83,$E29,'прогноз на 20.05.12'!AX$7:AX$83)+SUMIF('прогноз на 20.05.12'!$C$7:$C$83,$G29,'прогноз на 20.05.12'!AX$7:AX$83)+SUMIF('прогноз на 20.05.12'!$C$7:$C$83,$I29,'прогноз на 20.05.12'!AX$7:AX$83)+SUMIF('прогноз на 20.05.12'!$C$7:$C$83,$K29,'прогноз на 20.05.12'!AX$7:AX$83)</f>
        <v>36242.25</v>
      </c>
      <c r="AY29" s="41">
        <f>SUMIF('прогноз на 20.05.12'!$C$7:$C$83,$C29,'прогноз на 20.05.12'!AY$7:AY$83)+SUMIF('прогноз на 20.05.12'!$C$7:$C$83,$E29,'прогноз на 20.05.12'!AY$7:AY$83)+SUMIF('прогноз на 20.05.12'!$C$7:$C$83,$G29,'прогноз на 20.05.12'!AY$7:AY$83)+SUMIF('прогноз на 20.05.12'!$C$7:$C$83,$I29,'прогноз на 20.05.12'!AY$7:AY$83)+SUMIF('прогноз на 20.05.12'!$C$7:$C$83,$K29,'прогноз на 20.05.12'!AY$7:AY$83)</f>
        <v>190998</v>
      </c>
      <c r="AZ29" s="41">
        <f>SUMIF('прогноз на 20.05.12'!$C$7:$C$83,$C29,'прогноз на 20.05.12'!AZ$7:AZ$83)+SUMIF('прогноз на 20.05.12'!$C$7:$C$83,$E29,'прогноз на 20.05.12'!AZ$7:AZ$83)+SUMIF('прогноз на 20.05.12'!$C$7:$C$83,$G29,'прогноз на 20.05.12'!AZ$7:AZ$83)+SUMIF('прогноз на 20.05.12'!$C$7:$C$83,$I29,'прогноз на 20.05.12'!AZ$7:AZ$83)+SUMIF('прогноз на 20.05.12'!$C$7:$C$83,$K29,'прогноз на 20.05.12'!AZ$7:AZ$83)</f>
        <v>610995</v>
      </c>
      <c r="BA29" s="41">
        <f>SUMIF('прогноз на 20.05.12'!$C$7:$C$83,$C29,'прогноз на 20.05.12'!BA$7:BA$83)+SUMIF('прогноз на 20.05.12'!$C$7:$C$83,$E29,'прогноз на 20.05.12'!BA$7:BA$83)+SUMIF('прогноз на 20.05.12'!$C$7:$C$83,$G29,'прогноз на 20.05.12'!BA$7:BA$83)+SUMIF('прогноз на 20.05.12'!$C$7:$C$83,$I29,'прогноз на 20.05.12'!BA$7:BA$83)+SUMIF('прогноз на 20.05.12'!$C$7:$C$83,$K29,'прогноз на 20.05.12'!BA$7:BA$83)</f>
        <v>0</v>
      </c>
      <c r="BB29" s="41">
        <f>SUMIF('прогноз на 20.05.12'!$C$7:$C$83,$C29,'прогноз на 20.05.12'!BB$7:BB$83)+SUMIF('прогноз на 20.05.12'!$C$7:$C$83,$E29,'прогноз на 20.05.12'!BB$7:BB$83)+SUMIF('прогноз на 20.05.12'!$C$7:$C$83,$G29,'прогноз на 20.05.12'!BB$7:BB$83)+SUMIF('прогноз на 20.05.12'!$C$7:$C$83,$I29,'прогноз на 20.05.12'!BB$7:BB$83)+SUMIF('прогноз на 20.05.12'!$C$7:$C$83,$K29,'прогноз на 20.05.12'!BB$7:BB$83)</f>
        <v>801993</v>
      </c>
      <c r="BC29" s="41">
        <f>SUMIF('прогноз на 20.05.12'!$C$7:$C$83,$C29,'прогноз на 20.05.12'!BC$7:BC$83)+SUMIF('прогноз на 20.05.12'!$C$7:$C$83,$E29,'прогноз на 20.05.12'!BC$7:BC$83)+SUMIF('прогноз на 20.05.12'!$C$7:$C$83,$G29,'прогноз на 20.05.12'!BC$7:BC$83)+SUMIF('прогноз на 20.05.12'!$C$7:$C$83,$I29,'прогноз на 20.05.12'!BC$7:BC$83)+SUMIF('прогноз на 20.05.12'!$C$7:$C$83,$K29,'прогноз на 20.05.12'!BC$7:BC$83)</f>
        <v>737701</v>
      </c>
      <c r="BD29" s="41">
        <f>SUMIF('прогноз на 20.05.12'!$C$7:$C$83,$C29,'прогноз на 20.05.12'!BD$7:BD$83)+SUMIF('прогноз на 20.05.12'!$C$7:$C$83,$E29,'прогноз на 20.05.12'!BD$7:BD$83)+SUMIF('прогноз на 20.05.12'!$C$7:$C$83,$G29,'прогноз на 20.05.12'!BD$7:BD$83)+SUMIF('прогноз на 20.05.12'!$C$7:$C$83,$I29,'прогноз на 20.05.12'!BD$7:BD$83)+SUMIF('прогноз на 20.05.12'!$C$7:$C$83,$K29,'прогноз на 20.05.12'!BD$7:BD$83)</f>
        <v>737701</v>
      </c>
      <c r="BE29" s="41">
        <f>SUMIF('прогноз на 20.05.12'!$C$7:$C$83,$C29,'прогноз на 20.05.12'!BE$7:BE$83)+SUMIF('прогноз на 20.05.12'!$C$7:$C$83,$E29,'прогноз на 20.05.12'!BE$7:BE$83)+SUMIF('прогноз на 20.05.12'!$C$7:$C$83,$G29,'прогноз на 20.05.12'!BE$7:BE$83)+SUMIF('прогноз на 20.05.12'!$C$7:$C$83,$I29,'прогноз на 20.05.12'!BE$7:BE$83)+SUMIF('прогноз на 20.05.12'!$C$7:$C$83,$K29,'прогноз на 20.05.12'!BE$7:BE$83)</f>
        <v>0</v>
      </c>
      <c r="BF29" s="41">
        <f>SUMIF('прогноз на 20.05.12'!$C$7:$C$83,$C29,'прогноз на 20.05.12'!BF$7:BF$83)+SUMIF('прогноз на 20.05.12'!$C$7:$C$83,$E29,'прогноз на 20.05.12'!BF$7:BF$83)+SUMIF('прогноз на 20.05.12'!$C$7:$C$83,$G29,'прогноз на 20.05.12'!BF$7:BF$83)+SUMIF('прогноз на 20.05.12'!$C$7:$C$83,$I29,'прогноз на 20.05.12'!BF$7:BF$83)+SUMIF('прогноз на 20.05.12'!$C$7:$C$83,$K29,'прогноз на 20.05.12'!BF$7:BF$83)</f>
        <v>-64292</v>
      </c>
      <c r="BG29" s="41">
        <f>SUMIF('прогноз на 20.05.12'!$C$7:$C$83,$C29,'прогноз на 20.05.12'!BG$7:BG$83)+SUMIF('прогноз на 20.05.12'!$C$7:$C$83,$E29,'прогноз на 20.05.12'!BG$7:BG$83)+SUMIF('прогноз на 20.05.12'!$C$7:$C$83,$G29,'прогноз на 20.05.12'!BG$7:BG$83)+SUMIF('прогноз на 20.05.12'!$C$7:$C$83,$I29,'прогноз на 20.05.12'!BG$7:BG$83)+SUMIF('прогноз на 20.05.12'!$C$7:$C$83,$K29,'прогноз на 20.05.12'!BG$7:BG$83)</f>
        <v>22496</v>
      </c>
      <c r="BH29" s="41">
        <f>SUMIF('прогноз на 20.05.12'!$C$7:$C$83,$C29,'прогноз на 20.05.12'!BH$7:BH$83)+SUMIF('прогноз на 20.05.12'!$C$7:$C$83,$E29,'прогноз на 20.05.12'!BH$7:BH$83)+SUMIF('прогноз на 20.05.12'!$C$7:$C$83,$G29,'прогноз на 20.05.12'!BH$7:BH$83)+SUMIF('прогноз на 20.05.12'!$C$7:$C$83,$I29,'прогноз на 20.05.12'!BH$7:BH$83)+SUMIF('прогноз на 20.05.12'!$C$7:$C$83,$K29,'прогноз на 20.05.12'!BH$7:BH$83)</f>
        <v>-86788</v>
      </c>
      <c r="BI29" s="90">
        <f t="shared" si="10"/>
        <v>6</v>
      </c>
      <c r="BJ29" s="90">
        <f t="shared" si="11"/>
        <v>9.4</v>
      </c>
      <c r="BK29" s="90">
        <f t="shared" si="12"/>
        <v>14</v>
      </c>
      <c r="BL29" s="90">
        <f t="shared" si="13"/>
        <v>8.75</v>
      </c>
    </row>
    <row r="30" spans="1:64" s="59" customFormat="1" ht="18.75">
      <c r="A30" s="38">
        <v>24</v>
      </c>
      <c r="B30" s="39" t="s">
        <v>68</v>
      </c>
      <c r="C30" s="40" t="s">
        <v>230</v>
      </c>
      <c r="D30" s="56" t="s">
        <v>4</v>
      </c>
      <c r="E30" s="56" t="s">
        <v>179</v>
      </c>
      <c r="F30" s="58"/>
      <c r="G30" s="58"/>
      <c r="H30" s="58"/>
      <c r="I30" s="58"/>
      <c r="J30" s="58"/>
      <c r="K30" s="58"/>
      <c r="L30" s="41">
        <f>SUMIF('прогноз на 20.05.12'!$C$7:$C$83,$C30,'прогноз на 20.05.12'!D$7:D$83)+SUMIF('прогноз на 20.05.12'!$C$7:$C$83,$E30,'прогноз на 20.05.12'!D$7:D$83)+SUMIF('прогноз на 20.05.12'!$C$7:$C$83,$G30,'прогноз на 20.05.12'!D$7:D$83)+SUMIF('прогноз на 20.05.12'!$C$7:$C$83,$I30,'прогноз на 20.05.12'!D$7:D$83)+SUMIF('прогноз на 20.05.12'!$C$7:$C$83,$K30,'прогноз на 20.05.12'!D$7:D$83)</f>
        <v>41</v>
      </c>
      <c r="M30" s="41">
        <f>SUMIF('прогноз на 20.05.12'!$C$7:$C$83,$C30,'прогноз на 20.05.12'!E$7:E$83)+SUMIF('прогноз на 20.05.12'!$C$7:$C$83,$E30,'прогноз на 20.05.12'!E$7:E$83)+SUMIF('прогноз на 20.05.12'!$C$7:$C$83,$G30,'прогноз на 20.05.12'!E$7:E$83)+SUMIF('прогноз на 20.05.12'!$C$7:$C$83,$I30,'прогноз на 20.05.12'!E$7:E$83)+SUMIF('прогноз на 20.05.12'!$C$7:$C$83,$K30,'прогноз на 20.05.12'!E$7:E$83)</f>
        <v>48</v>
      </c>
      <c r="N30" s="41">
        <f>SUMIF('прогноз на 20.05.12'!$C$7:$C$83,$C30,'прогноз на 20.05.12'!F$7:F$83)+SUMIF('прогноз на 20.05.12'!$C$7:$C$83,$E30,'прогноз на 20.05.12'!F$7:F$83)+SUMIF('прогноз на 20.05.12'!$C$7:$C$83,$G30,'прогноз на 20.05.12'!F$7:F$83)+SUMIF('прогноз на 20.05.12'!$C$7:$C$83,$I30,'прогноз на 20.05.12'!F$7:F$83)+SUMIF('прогноз на 20.05.12'!$C$7:$C$83,$K30,'прогноз на 20.05.12'!F$7:F$83)</f>
        <v>15</v>
      </c>
      <c r="O30" s="44">
        <f t="shared" si="6"/>
        <v>104</v>
      </c>
      <c r="P30" s="41">
        <f>SUMIF('прогноз на 20.05.12'!$C$7:$C$83,$C30,'прогноз на 20.05.12'!H$7:H$83)+SUMIF('прогноз на 20.05.12'!$C$7:$C$83,$E30,'прогноз на 20.05.12'!H$7:H$83)+SUMIF('прогноз на 20.05.12'!$C$7:$C$83,$G30,'прогноз на 20.05.12'!H$7:H$83)+SUMIF('прогноз на 20.05.12'!$C$7:$C$83,$I30,'прогноз на 20.05.12'!H$7:H$83)+SUMIF('прогноз на 20.05.12'!$C$7:$C$83,$K30,'прогноз на 20.05.12'!H$7:H$83)</f>
        <v>5</v>
      </c>
      <c r="Q30" s="41">
        <f>SUMIF('прогноз на 20.05.12'!$C$7:$C$83,$C30,'прогноз на 20.05.12'!I$7:I$83)+SUMIF('прогноз на 20.05.12'!$C$7:$C$83,$E30,'прогноз на 20.05.12'!I$7:I$83)+SUMIF('прогноз на 20.05.12'!$C$7:$C$83,$G30,'прогноз на 20.05.12'!I$7:I$83)+SUMIF('прогноз на 20.05.12'!$C$7:$C$83,$I30,'прогноз на 20.05.12'!I$7:I$83)+SUMIF('прогноз на 20.05.12'!$C$7:$C$83,$K30,'прогноз на 20.05.12'!I$7:I$83)</f>
        <v>5</v>
      </c>
      <c r="R30" s="41">
        <f>SUMIF('прогноз на 20.05.12'!$C$7:$C$83,$C30,'прогноз на 20.05.12'!J$7:J$83)+SUMIF('прогноз на 20.05.12'!$C$7:$C$83,$E30,'прогноз на 20.05.12'!J$7:J$83)+SUMIF('прогноз на 20.05.12'!$C$7:$C$83,$G30,'прогноз на 20.05.12'!J$7:J$83)+SUMIF('прогноз на 20.05.12'!$C$7:$C$83,$I30,'прогноз на 20.05.12'!J$7:J$83)+SUMIF('прогноз на 20.05.12'!$C$7:$C$83,$K30,'прогноз на 20.05.12'!J$7:J$83)</f>
        <v>2</v>
      </c>
      <c r="S30" s="45">
        <f t="shared" si="7"/>
        <v>12</v>
      </c>
      <c r="T30" s="41">
        <f>SUMIF('прогноз на 20.05.12'!$C$7:$C$83,$C30,'прогноз на 20.05.12'!L$7:L$83)+SUMIF('прогноз на 20.05.12'!$C$7:$C$83,$E30,'прогноз на 20.05.12'!L$7:L$83)+SUMIF('прогноз на 20.05.12'!$C$7:$C$83,$G30,'прогноз на 20.05.12'!L$7:L$83)+SUMIF('прогноз на 20.05.12'!$C$7:$C$83,$I30,'прогноз на 20.05.12'!L$7:L$83)+SUMIF('прогноз на 20.05.12'!$C$7:$C$83,$K30,'прогноз на 20.05.12'!L$7:L$83)</f>
        <v>0</v>
      </c>
      <c r="U30" s="41">
        <f>SUMIF('прогноз на 20.05.12'!$C$7:$C$83,$C30,'прогноз на 20.05.12'!M$7:M$83)+SUMIF('прогноз на 20.05.12'!$C$7:$C$83,$E30,'прогноз на 20.05.12'!M$7:M$83)+SUMIF('прогноз на 20.05.12'!$C$7:$C$83,$G30,'прогноз на 20.05.12'!M$7:M$83)+SUMIF('прогноз на 20.05.12'!$C$7:$C$83,$I30,'прогноз на 20.05.12'!M$7:M$83)+SUMIF('прогноз на 20.05.12'!$C$7:$C$83,$K30,'прогноз на 20.05.12'!M$7:M$83)</f>
        <v>0</v>
      </c>
      <c r="V30" s="41">
        <f>SUMIF('прогноз на 20.05.12'!$C$7:$C$83,$C30,'прогноз на 20.05.12'!N$7:N$83)+SUMIF('прогноз на 20.05.12'!$C$7:$C$83,$E30,'прогноз на 20.05.12'!N$7:N$83)+SUMIF('прогноз на 20.05.12'!$C$7:$C$83,$G30,'прогноз на 20.05.12'!N$7:N$83)+SUMIF('прогноз на 20.05.12'!$C$7:$C$83,$I30,'прогноз на 20.05.12'!N$7:N$83)+SUMIF('прогноз на 20.05.12'!$C$7:$C$83,$K30,'прогноз на 20.05.12'!N$7:N$83)</f>
        <v>0</v>
      </c>
      <c r="W30" s="45">
        <f t="shared" si="8"/>
        <v>0</v>
      </c>
      <c r="X30" s="41">
        <f>SUMIF('прогноз на 20.05.12'!$C$7:$C$83,$C30,'прогноз на 20.05.12'!P$7:P$83)+SUMIF('прогноз на 20.05.12'!$C$7:$C$83,$E30,'прогноз на 20.05.12'!P$7:P$83)+SUMIF('прогноз на 20.05.12'!$C$7:$C$83,$G30,'прогноз на 20.05.12'!P$7:P$83)+SUMIF('прогноз на 20.05.12'!$C$7:$C$83,$I30,'прогноз на 20.05.12'!P$7:P$83)+SUMIF('прогноз на 20.05.12'!$C$7:$C$83,$K30,'прогноз на 20.05.12'!P$7:P$83)</f>
        <v>1</v>
      </c>
      <c r="Y30" s="41">
        <f>SUMIF('прогноз на 20.05.12'!$C$7:$C$83,$C30,'прогноз на 20.05.12'!Q$7:Q$83)+SUMIF('прогноз на 20.05.12'!$C$7:$C$83,$E30,'прогноз на 20.05.12'!Q$7:Q$83)+SUMIF('прогноз на 20.05.12'!$C$7:$C$83,$G30,'прогноз на 20.05.12'!Q$7:Q$83)+SUMIF('прогноз на 20.05.12'!$C$7:$C$83,$I30,'прогноз на 20.05.12'!Q$7:Q$83)+SUMIF('прогноз на 20.05.12'!$C$7:$C$83,$K30,'прогноз на 20.05.12'!Q$7:Q$83)</f>
        <v>26</v>
      </c>
      <c r="Z30" s="45"/>
      <c r="AA30" s="41">
        <f>SUMIF('прогноз на 20.05.12'!$C$7:$C$83,$C30,'прогноз на 20.05.12'!S$7:S$83)+SUMIF('прогноз на 20.05.12'!$C$7:$C$83,$E30,'прогноз на 20.05.12'!S$7:S$83)+SUMIF('прогноз на 20.05.12'!$C$7:$C$83,$G30,'прогноз на 20.05.12'!S$7:S$83)+SUMIF('прогноз на 20.05.12'!$C$7:$C$83,$I30,'прогноз на 20.05.12'!S$7:S$83)+SUMIF('прогноз на 20.05.12'!$C$7:$C$83,$K30,'прогноз на 20.05.12'!S$7:S$83)</f>
        <v>51</v>
      </c>
      <c r="AB30" s="41">
        <f>SUMIF('прогноз на 20.05.12'!$C$7:$C$83,$C30,'прогноз на 20.05.12'!T$7:T$83)+SUMIF('прогноз на 20.05.12'!$C$7:$C$83,$E30,'прогноз на 20.05.12'!T$7:T$83)+SUMIF('прогноз на 20.05.12'!$C$7:$C$83,$G30,'прогноз на 20.05.12'!T$7:T$83)+SUMIF('прогноз на 20.05.12'!$C$7:$C$83,$I30,'прогноз на 20.05.12'!T$7:T$83)+SUMIF('прогноз на 20.05.12'!$C$7:$C$83,$K30,'прогноз на 20.05.12'!T$7:T$83)</f>
        <v>70</v>
      </c>
      <c r="AC30" s="41">
        <f>SUMIF('прогноз на 20.05.12'!$C$7:$C$83,$C30,'прогноз на 20.05.12'!U$7:U$83)+SUMIF('прогноз на 20.05.12'!$C$7:$C$83,$E30,'прогноз на 20.05.12'!U$7:U$83)+SUMIF('прогноз на 20.05.12'!$C$7:$C$83,$G30,'прогноз на 20.05.12'!U$7:U$83)+SUMIF('прогноз на 20.05.12'!$C$7:$C$83,$I30,'прогноз на 20.05.12'!U$7:U$83)+SUMIF('прогноз на 20.05.12'!$C$7:$C$83,$K30,'прогноз на 20.05.12'!U$7:U$83)</f>
        <v>28</v>
      </c>
      <c r="AD30" s="41">
        <f>SUMIF('прогноз на 20.05.12'!$C$7:$C$83,$C30,'прогноз на 20.05.12'!V$7:V$83)+SUMIF('прогноз на 20.05.12'!$C$7:$C$83,$E30,'прогноз на 20.05.12'!V$7:V$83)+SUMIF('прогноз на 20.05.12'!$C$7:$C$83,$G30,'прогноз на 20.05.12'!V$7:V$83)+SUMIF('прогноз на 20.05.12'!$C$7:$C$83,$I30,'прогноз на 20.05.12'!V$7:V$83)+SUMIF('прогноз на 20.05.12'!$C$7:$C$83,$K30,'прогноз на 20.05.12'!V$7:V$83)</f>
        <v>149</v>
      </c>
      <c r="AE30" s="41">
        <f>SUMIF('прогноз на 20.05.12'!$C$7:$C$83,$C30,'прогноз на 20.05.12'!W$7:W$83)+SUMIF('прогноз на 20.05.12'!$C$7:$C$83,$E30,'прогноз на 20.05.12'!W$7:W$83)+SUMIF('прогноз на 20.05.12'!$C$7:$C$83,$G30,'прогноз на 20.05.12'!W$7:W$83)+SUMIF('прогноз на 20.05.12'!$C$7:$C$83,$I30,'прогноз на 20.05.12'!W$7:W$83)+SUMIF('прогноз на 20.05.12'!$C$7:$C$83,$K30,'прогноз на 20.05.12'!W$7:W$83)</f>
        <v>10</v>
      </c>
      <c r="AF30" s="41">
        <f>SUMIF('прогноз на 20.05.12'!$C$7:$C$83,$C30,'прогноз на 20.05.12'!X$7:X$83)+SUMIF('прогноз на 20.05.12'!$C$7:$C$83,$E30,'прогноз на 20.05.12'!X$7:X$83)+SUMIF('прогноз на 20.05.12'!$C$7:$C$83,$G30,'прогноз на 20.05.12'!X$7:X$83)+SUMIF('прогноз на 20.05.12'!$C$7:$C$83,$I30,'прогноз на 20.05.12'!X$7:X$83)+SUMIF('прогноз на 20.05.12'!$C$7:$C$83,$K30,'прогноз на 20.05.12'!X$7:X$83)</f>
        <v>22</v>
      </c>
      <c r="AG30" s="41">
        <f>SUMIF('прогноз на 20.05.12'!$C$7:$C$83,$C30,'прогноз на 20.05.12'!Y$7:Y$83)+SUMIF('прогноз на 20.05.12'!$C$7:$C$83,$E30,'прогноз на 20.05.12'!Y$7:Y$83)+SUMIF('прогноз на 20.05.12'!$C$7:$C$83,$G30,'прогноз на 20.05.12'!Y$7:Y$83)+SUMIF('прогноз на 20.05.12'!$C$7:$C$83,$I30,'прогноз на 20.05.12'!Y$7:Y$83)+SUMIF('прогноз на 20.05.12'!$C$7:$C$83,$K30,'прогноз на 20.05.12'!Y$7:Y$83)</f>
        <v>13</v>
      </c>
      <c r="AH30" s="41">
        <f>SUMIF('прогноз на 20.05.12'!$C$7:$C$83,$C30,'прогноз на 20.05.12'!Z$7:Z$83)+SUMIF('прогноз на 20.05.12'!$C$7:$C$83,$E30,'прогноз на 20.05.12'!Z$7:Z$83)+SUMIF('прогноз на 20.05.12'!$C$7:$C$83,$G30,'прогноз на 20.05.12'!Z$7:Z$83)+SUMIF('прогноз на 20.05.12'!$C$7:$C$83,$I30,'прогноз на 20.05.12'!Z$7:Z$83)+SUMIF('прогноз на 20.05.12'!$C$7:$C$83,$K30,'прогноз на 20.05.12'!Z$7:Z$83)</f>
        <v>45</v>
      </c>
      <c r="AI30" s="41">
        <f>SUMIF('прогноз на 20.05.12'!$C$7:$C$83,$C30,'прогноз на 20.05.12'!AA$7:AA$83)+SUMIF('прогноз на 20.05.12'!$C$7:$C$83,$E30,'прогноз на 20.05.12'!AA$7:AA$83)+SUMIF('прогноз на 20.05.12'!$C$7:$C$83,$G30,'прогноз на 20.05.12'!AA$7:AA$83)+SUMIF('прогноз на 20.05.12'!$C$7:$C$83,$I30,'прогноз на 20.05.12'!AA$7:AA$83)+SUMIF('прогноз на 20.05.12'!$C$7:$C$83,$K30,'прогноз на 20.05.12'!AA$7:AA$83)</f>
        <v>7.5</v>
      </c>
      <c r="AJ30" s="41">
        <f>SUMIF('прогноз на 20.05.12'!$C$7:$C$83,$C30,'прогноз на 20.05.12'!AB$7:AB$83)+SUMIF('прогноз на 20.05.12'!$C$7:$C$83,$E30,'прогноз на 20.05.12'!AB$7:AB$83)+SUMIF('прогноз на 20.05.12'!$C$7:$C$83,$G30,'прогноз на 20.05.12'!AB$7:AB$83)+SUMIF('прогноз на 20.05.12'!$C$7:$C$83,$I30,'прогноз на 20.05.12'!AB$7:AB$83)+SUMIF('прогноз на 20.05.12'!$C$7:$C$83,$K30,'прогноз на 20.05.12'!AB$7:AB$83)</f>
        <v>16.5</v>
      </c>
      <c r="AK30" s="41">
        <f>SUMIF('прогноз на 20.05.12'!$C$7:$C$83,$C30,'прогноз на 20.05.12'!AC$7:AC$83)+SUMIF('прогноз на 20.05.12'!$C$7:$C$83,$E30,'прогноз на 20.05.12'!AC$7:AC$83)+SUMIF('прогноз на 20.05.12'!$C$7:$C$83,$G30,'прогноз на 20.05.12'!AC$7:AC$83)+SUMIF('прогноз на 20.05.12'!$C$7:$C$83,$I30,'прогноз на 20.05.12'!AC$7:AC$83)+SUMIF('прогноз на 20.05.12'!$C$7:$C$83,$K30,'прогноз на 20.05.12'!AC$7:AC$83)</f>
        <v>9.75</v>
      </c>
      <c r="AL30" s="41">
        <f>SUMIF('прогноз на 20.05.12'!$C$7:$C$83,$C30,'прогноз на 20.05.12'!AD$7:AD$83)+SUMIF('прогноз на 20.05.12'!$C$7:$C$83,$E30,'прогноз на 20.05.12'!AD$7:AD$83)+SUMIF('прогноз на 20.05.12'!$C$7:$C$83,$G30,'прогноз на 20.05.12'!AD$7:AD$83)+SUMIF('прогноз на 20.05.12'!$C$7:$C$83,$I30,'прогноз на 20.05.12'!AD$7:AD$83)+SUMIF('прогноз на 20.05.12'!$C$7:$C$83,$K30,'прогноз на 20.05.12'!AD$7:AD$83)</f>
        <v>33.75</v>
      </c>
      <c r="AM30" s="41">
        <f>SUMIF('прогноз на 20.05.12'!$C$7:$C$83,$C30,'прогноз на 20.05.12'!AE$7:AE$83)+SUMIF('прогноз на 20.05.12'!$C$7:$C$83,$E30,'прогноз на 20.05.12'!AE$7:AE$83)+SUMIF('прогноз на 20.05.12'!$C$7:$C$83,$G30,'прогноз на 20.05.12'!AE$7:AE$83)+SUMIF('прогноз на 20.05.12'!$C$7:$C$83,$I30,'прогноз на 20.05.12'!AE$7:AE$83)+SUMIF('прогноз на 20.05.12'!$C$7:$C$83,$K30,'прогноз на 20.05.12'!AE$7:AE$83)</f>
        <v>48.5</v>
      </c>
      <c r="AN30" s="41">
        <f>SUMIF('прогноз на 20.05.12'!$C$7:$C$83,$C30,'прогноз на 20.05.12'!AF$7:AF$83)+SUMIF('прогноз на 20.05.12'!$C$7:$C$83,$E30,'прогноз на 20.05.12'!AF$7:AF$83)+SUMIF('прогноз на 20.05.12'!$C$7:$C$83,$G30,'прогноз на 20.05.12'!AF$7:AF$83)+SUMIF('прогноз на 20.05.12'!$C$7:$C$83,$I30,'прогноз на 20.05.12'!AF$7:AF$83)+SUMIF('прогноз на 20.05.12'!$C$7:$C$83,$K30,'прогноз на 20.05.12'!AF$7:AF$83)</f>
        <v>64.5</v>
      </c>
      <c r="AO30" s="41">
        <f>SUMIF('прогноз на 20.05.12'!$C$7:$C$83,$C30,'прогноз на 20.05.12'!AG$7:AG$83)+SUMIF('прогноз на 20.05.12'!$C$7:$C$83,$E30,'прогноз на 20.05.12'!AG$7:AG$83)+SUMIF('прогноз на 20.05.12'!$C$7:$C$83,$G30,'прогноз на 20.05.12'!AG$7:AG$83)+SUMIF('прогноз на 20.05.12'!$C$7:$C$83,$I30,'прогноз на 20.05.12'!AG$7:AG$83)+SUMIF('прогноз на 20.05.12'!$C$7:$C$83,$K30,'прогноз на 20.05.12'!AG$7:AG$83)</f>
        <v>24.75</v>
      </c>
      <c r="AP30" s="41">
        <f>SUMIF('прогноз на 20.05.12'!$C$7:$C$83,$C30,'прогноз на 20.05.12'!AH$7:AH$83)+SUMIF('прогноз на 20.05.12'!$C$7:$C$83,$E30,'прогноз на 20.05.12'!AH$7:AH$83)+SUMIF('прогноз на 20.05.12'!$C$7:$C$83,$G30,'прогноз на 20.05.12'!AH$7:AH$83)+SUMIF('прогноз на 20.05.12'!$C$7:$C$83,$I30,'прогноз на 20.05.12'!AH$7:AH$83)+SUMIF('прогноз на 20.05.12'!$C$7:$C$83,$K30,'прогноз на 20.05.12'!AH$7:AH$83)</f>
        <v>137.75</v>
      </c>
      <c r="AQ30" s="41">
        <f>SUMIF('прогноз на 20.05.12'!$C$7:$C$83,$C30,'прогноз на 20.05.12'!AM$7:AM$83)+SUMIF('прогноз на 20.05.12'!$C$7:$C$83,$E30,'прогноз на 20.05.12'!AM$7:AM$83)+SUMIF('прогноз на 20.05.12'!$C$7:$C$83,$G30,'прогноз на 20.05.12'!AM$7:AM$83)+SUMIF('прогноз на 20.05.12'!$C$7:$C$83,$I30,'прогноз на 20.05.12'!AM$7:AM$83)+SUMIF('прогноз на 20.05.12'!$C$7:$C$83,$K30,'прогноз на 20.05.12'!AM$7:AM$83)</f>
        <v>149677.5</v>
      </c>
      <c r="AR30" s="41">
        <f>SUMIF('прогноз на 20.05.12'!$C$7:$C$83,$C30,'прогноз на 20.05.12'!AN$7:AN$83)+SUMIF('прогноз на 20.05.12'!$C$7:$C$83,$E30,'прогноз на 20.05.12'!AN$7:AN$83)+SUMIF('прогноз на 20.05.12'!$C$7:$C$83,$G30,'прогноз на 20.05.12'!AN$7:AN$83)+SUMIF('прогноз на 20.05.12'!$C$7:$C$83,$I30,'прогноз на 20.05.12'!AN$7:AN$83)+SUMIF('прогноз на 20.05.12'!$C$7:$C$83,$K30,'прогноз на 20.05.12'!AN$7:AN$83)</f>
        <v>560653.5</v>
      </c>
      <c r="AS30" s="41">
        <f>SUMIF('прогноз на 20.05.12'!$C$7:$C$83,$C30,'прогноз на 20.05.12'!AO$7:AO$83)+SUMIF('прогноз на 20.05.12'!$C$7:$C$83,$E30,'прогноз на 20.05.12'!AO$7:AO$83)+SUMIF('прогноз на 20.05.12'!$C$7:$C$83,$G30,'прогноз на 20.05.12'!AO$7:AO$83)+SUMIF('прогноз на 20.05.12'!$C$7:$C$83,$I30,'прогноз на 20.05.12'!AO$7:AO$83)+SUMIF('прогноз на 20.05.12'!$C$7:$C$83,$K30,'прогноз на 20.05.12'!AO$7:AO$83)</f>
        <v>353798.25</v>
      </c>
      <c r="AT30" s="41">
        <f>SUMIF('прогноз на 20.05.12'!$C$7:$C$83,$C30,'прогноз на 20.05.12'!AP$7:AP$83)+SUMIF('прогноз на 20.05.12'!$C$7:$C$83,$E30,'прогноз на 20.05.12'!AP$7:AP$83)+SUMIF('прогноз на 20.05.12'!$C$7:$C$83,$G30,'прогноз на 20.05.12'!AP$7:AP$83)+SUMIF('прогноз на 20.05.12'!$C$7:$C$83,$I30,'прогноз на 20.05.12'!AP$7:AP$83)+SUMIF('прогноз на 20.05.12'!$C$7:$C$83,$K30,'прогноз на 20.05.12'!AP$7:AP$83)</f>
        <v>1064129.25</v>
      </c>
      <c r="AU30" s="41">
        <f>SUMIF('прогноз на 20.05.12'!$C$7:$C$83,$C30,'прогноз на 20.05.12'!AU$7:AU$83)+SUMIF('прогноз на 20.05.12'!$C$7:$C$83,$E30,'прогноз на 20.05.12'!AU$7:AU$83)+SUMIF('прогноз на 20.05.12'!$C$7:$C$83,$G30,'прогноз на 20.05.12'!AU$7:AU$83)+SUMIF('прогноз на 20.05.12'!$C$7:$C$83,$I30,'прогноз на 20.05.12'!AU$7:AU$83)+SUMIF('прогноз на 20.05.12'!$C$7:$C$83,$K30,'прогноз на 20.05.12'!AU$7:AU$83)</f>
        <v>9487.5</v>
      </c>
      <c r="AV30" s="41">
        <f>SUMIF('прогноз на 20.05.12'!$C$7:$C$83,$C30,'прогноз на 20.05.12'!AV$7:AV$83)+SUMIF('прогноз на 20.05.12'!$C$7:$C$83,$E30,'прогноз на 20.05.12'!AV$7:AV$83)+SUMIF('прогноз на 20.05.12'!$C$7:$C$83,$G30,'прогноз на 20.05.12'!AV$7:AV$83)+SUMIF('прогноз на 20.05.12'!$C$7:$C$83,$I30,'прогноз на 20.05.12'!AV$7:AV$83)+SUMIF('прогноз на 20.05.12'!$C$7:$C$83,$K30,'прогноз на 20.05.12'!AV$7:AV$83)</f>
        <v>23776.5</v>
      </c>
      <c r="AW30" s="41">
        <f>SUMIF('прогноз на 20.05.12'!$C$7:$C$83,$C30,'прогноз на 20.05.12'!AW$7:AW$83)+SUMIF('прогноз на 20.05.12'!$C$7:$C$83,$E30,'прогноз на 20.05.12'!AW$7:AW$83)+SUMIF('прогноз на 20.05.12'!$C$7:$C$83,$G30,'прогноз на 20.05.12'!AW$7:AW$83)+SUMIF('прогноз на 20.05.12'!$C$7:$C$83,$I30,'прогноз на 20.05.12'!AW$7:AW$83)+SUMIF('прогноз на 20.05.12'!$C$7:$C$83,$K30,'прогноз на 20.05.12'!AW$7:AW$83)</f>
        <v>17813.25</v>
      </c>
      <c r="AX30" s="41">
        <f>SUMIF('прогноз на 20.05.12'!$C$7:$C$83,$C30,'прогноз на 20.05.12'!AX$7:AX$83)+SUMIF('прогноз на 20.05.12'!$C$7:$C$83,$E30,'прогноз на 20.05.12'!AX$7:AX$83)+SUMIF('прогноз на 20.05.12'!$C$7:$C$83,$G30,'прогноз на 20.05.12'!AX$7:AX$83)+SUMIF('прогноз на 20.05.12'!$C$7:$C$83,$I30,'прогноз на 20.05.12'!AX$7:AX$83)+SUMIF('прогноз на 20.05.12'!$C$7:$C$83,$K30,'прогноз на 20.05.12'!AX$7:AX$83)</f>
        <v>51077.25</v>
      </c>
      <c r="AY30" s="41">
        <f>SUMIF('прогноз на 20.05.12'!$C$7:$C$83,$C30,'прогноз на 20.05.12'!AY$7:AY$83)+SUMIF('прогноз на 20.05.12'!$C$7:$C$83,$E30,'прогноз на 20.05.12'!AY$7:AY$83)+SUMIF('прогноз на 20.05.12'!$C$7:$C$83,$G30,'прогноз на 20.05.12'!AY$7:AY$83)+SUMIF('прогноз на 20.05.12'!$C$7:$C$83,$I30,'прогноз на 20.05.12'!AY$7:AY$83)+SUMIF('прогноз на 20.05.12'!$C$7:$C$83,$K30,'прогноз на 20.05.12'!AY$7:AY$83)</f>
        <v>159165</v>
      </c>
      <c r="AZ30" s="41">
        <f>SUMIF('прогноз на 20.05.12'!$C$7:$C$83,$C30,'прогноз на 20.05.12'!AZ$7:AZ$83)+SUMIF('прогноз на 20.05.12'!$C$7:$C$83,$E30,'прогноз на 20.05.12'!AZ$7:AZ$83)+SUMIF('прогноз на 20.05.12'!$C$7:$C$83,$G30,'прогноз на 20.05.12'!AZ$7:AZ$83)+SUMIF('прогноз на 20.05.12'!$C$7:$C$83,$I30,'прогноз на 20.05.12'!AZ$7:AZ$83)+SUMIF('прогноз на 20.05.12'!$C$7:$C$83,$K30,'прогноз на 20.05.12'!AZ$7:AZ$83)</f>
        <v>584430</v>
      </c>
      <c r="BA30" s="41">
        <f>SUMIF('прогноз на 20.05.12'!$C$7:$C$83,$C30,'прогноз на 20.05.12'!BA$7:BA$83)+SUMIF('прогноз на 20.05.12'!$C$7:$C$83,$E30,'прогноз на 20.05.12'!BA$7:BA$83)+SUMIF('прогноз на 20.05.12'!$C$7:$C$83,$G30,'прогноз на 20.05.12'!BA$7:BA$83)+SUMIF('прогноз на 20.05.12'!$C$7:$C$83,$I30,'прогноз на 20.05.12'!BA$7:BA$83)+SUMIF('прогноз на 20.05.12'!$C$7:$C$83,$K30,'прогноз на 20.05.12'!BA$7:BA$83)</f>
        <v>371611.5</v>
      </c>
      <c r="BB30" s="41">
        <f>SUMIF('прогноз на 20.05.12'!$C$7:$C$83,$C30,'прогноз на 20.05.12'!BB$7:BB$83)+SUMIF('прогноз на 20.05.12'!$C$7:$C$83,$E30,'прогноз на 20.05.12'!BB$7:BB$83)+SUMIF('прогноз на 20.05.12'!$C$7:$C$83,$G30,'прогноз на 20.05.12'!BB$7:BB$83)+SUMIF('прогноз на 20.05.12'!$C$7:$C$83,$I30,'прогноз на 20.05.12'!BB$7:BB$83)+SUMIF('прогноз на 20.05.12'!$C$7:$C$83,$K30,'прогноз на 20.05.12'!BB$7:BB$83)</f>
        <v>1115206.5</v>
      </c>
      <c r="BC30" s="41">
        <f>SUMIF('прогноз на 20.05.12'!$C$7:$C$83,$C30,'прогноз на 20.05.12'!BC$7:BC$83)+SUMIF('прогноз на 20.05.12'!$C$7:$C$83,$E30,'прогноз на 20.05.12'!BC$7:BC$83)+SUMIF('прогноз на 20.05.12'!$C$7:$C$83,$G30,'прогноз на 20.05.12'!BC$7:BC$83)+SUMIF('прогноз на 20.05.12'!$C$7:$C$83,$I30,'прогноз на 20.05.12'!BC$7:BC$83)+SUMIF('прогноз на 20.05.12'!$C$7:$C$83,$K30,'прогноз на 20.05.12'!BC$7:BC$83)</f>
        <v>1231916</v>
      </c>
      <c r="BD30" s="41">
        <f>SUMIF('прогноз на 20.05.12'!$C$7:$C$83,$C30,'прогноз на 20.05.12'!BD$7:BD$83)+SUMIF('прогноз на 20.05.12'!$C$7:$C$83,$E30,'прогноз на 20.05.12'!BD$7:BD$83)+SUMIF('прогноз на 20.05.12'!$C$7:$C$83,$G30,'прогноз на 20.05.12'!BD$7:BD$83)+SUMIF('прогноз на 20.05.12'!$C$7:$C$83,$I30,'прогноз на 20.05.12'!BD$7:BD$83)+SUMIF('прогноз на 20.05.12'!$C$7:$C$83,$K30,'прогноз на 20.05.12'!BD$7:BD$83)</f>
        <v>1231916</v>
      </c>
      <c r="BE30" s="41">
        <f>SUMIF('прогноз на 20.05.12'!$C$7:$C$83,$C30,'прогноз на 20.05.12'!BE$7:BE$83)+SUMIF('прогноз на 20.05.12'!$C$7:$C$83,$E30,'прогноз на 20.05.12'!BE$7:BE$83)+SUMIF('прогноз на 20.05.12'!$C$7:$C$83,$G30,'прогноз на 20.05.12'!BE$7:BE$83)+SUMIF('прогноз на 20.05.12'!$C$7:$C$83,$I30,'прогноз на 20.05.12'!BE$7:BE$83)+SUMIF('прогноз на 20.05.12'!$C$7:$C$83,$K30,'прогноз на 20.05.12'!BE$7:BE$83)</f>
        <v>0</v>
      </c>
      <c r="BF30" s="41">
        <f>SUMIF('прогноз на 20.05.12'!$C$7:$C$83,$C30,'прогноз на 20.05.12'!BF$7:BF$83)+SUMIF('прогноз на 20.05.12'!$C$7:$C$83,$E30,'прогноз на 20.05.12'!BF$7:BF$83)+SUMIF('прогноз на 20.05.12'!$C$7:$C$83,$G30,'прогноз на 20.05.12'!BF$7:BF$83)+SUMIF('прогноз на 20.05.12'!$C$7:$C$83,$I30,'прогноз на 20.05.12'!BF$7:BF$83)+SUMIF('прогноз на 20.05.12'!$C$7:$C$83,$K30,'прогноз на 20.05.12'!BF$7:BF$83)</f>
        <v>116709.5</v>
      </c>
      <c r="BG30" s="41">
        <f>SUMIF('прогноз на 20.05.12'!$C$7:$C$83,$C30,'прогноз на 20.05.12'!BG$7:BG$83)+SUMIF('прогноз на 20.05.12'!$C$7:$C$83,$E30,'прогноз на 20.05.12'!BG$7:BG$83)+SUMIF('прогноз на 20.05.12'!$C$7:$C$83,$G30,'прогноз на 20.05.12'!BG$7:BG$83)+SUMIF('прогноз на 20.05.12'!$C$7:$C$83,$I30,'прогноз на 20.05.12'!BG$7:BG$83)+SUMIF('прогноз на 20.05.12'!$C$7:$C$83,$K30,'прогноз на 20.05.12'!BG$7:BG$83)</f>
        <v>116709.5</v>
      </c>
      <c r="BH30" s="41">
        <f>SUMIF('прогноз на 20.05.12'!$C$7:$C$83,$C30,'прогноз на 20.05.12'!BH$7:BH$83)+SUMIF('прогноз на 20.05.12'!$C$7:$C$83,$E30,'прогноз на 20.05.12'!BH$7:BH$83)+SUMIF('прогноз на 20.05.12'!$C$7:$C$83,$G30,'прогноз на 20.05.12'!BH$7:BH$83)+SUMIF('прогноз на 20.05.12'!$C$7:$C$83,$I30,'прогноз на 20.05.12'!BH$7:BH$83)+SUMIF('прогноз на 20.05.12'!$C$7:$C$83,$K30,'прогноз на 20.05.12'!BH$7:BH$83)</f>
        <v>0</v>
      </c>
      <c r="BI30" s="90">
        <f t="shared" si="10"/>
        <v>8.1999999999999993</v>
      </c>
      <c r="BJ30" s="90">
        <f t="shared" si="11"/>
        <v>9.6</v>
      </c>
      <c r="BK30" s="90">
        <f t="shared" si="12"/>
        <v>7.5</v>
      </c>
      <c r="BL30" s="90">
        <f t="shared" si="13"/>
        <v>8.6666666666666661</v>
      </c>
    </row>
    <row r="31" spans="1:64" s="59" customFormat="1" ht="18.75">
      <c r="A31" s="38">
        <v>25</v>
      </c>
      <c r="B31" s="39" t="s">
        <v>72</v>
      </c>
      <c r="C31" s="40" t="s">
        <v>232</v>
      </c>
      <c r="D31" s="58"/>
      <c r="E31" s="58"/>
      <c r="F31" s="58"/>
      <c r="G31" s="58"/>
      <c r="H31" s="58"/>
      <c r="I31" s="58"/>
      <c r="J31" s="58"/>
      <c r="K31" s="58"/>
      <c r="L31" s="41">
        <f>SUMIF('прогноз на 20.05.12'!$C$7:$C$83,$C31,'прогноз на 20.05.12'!D$7:D$83)+SUMIF('прогноз на 20.05.12'!$C$7:$C$83,$E31,'прогноз на 20.05.12'!D$7:D$83)+SUMIF('прогноз на 20.05.12'!$C$7:$C$83,$G31,'прогноз на 20.05.12'!D$7:D$83)+SUMIF('прогноз на 20.05.12'!$C$7:$C$83,$I31,'прогноз на 20.05.12'!D$7:D$83)+SUMIF('прогноз на 20.05.12'!$C$7:$C$83,$K31,'прогноз на 20.05.12'!D$7:D$83)</f>
        <v>124</v>
      </c>
      <c r="M31" s="41">
        <f>SUMIF('прогноз на 20.05.12'!$C$7:$C$83,$C31,'прогноз на 20.05.12'!E$7:E$83)+SUMIF('прогноз на 20.05.12'!$C$7:$C$83,$E31,'прогноз на 20.05.12'!E$7:E$83)+SUMIF('прогноз на 20.05.12'!$C$7:$C$83,$G31,'прогноз на 20.05.12'!E$7:E$83)+SUMIF('прогноз на 20.05.12'!$C$7:$C$83,$I31,'прогноз на 20.05.12'!E$7:E$83)+SUMIF('прогноз на 20.05.12'!$C$7:$C$83,$K31,'прогноз на 20.05.12'!E$7:E$83)</f>
        <v>165</v>
      </c>
      <c r="N31" s="41">
        <f>SUMIF('прогноз на 20.05.12'!$C$7:$C$83,$C31,'прогноз на 20.05.12'!F$7:F$83)+SUMIF('прогноз на 20.05.12'!$C$7:$C$83,$E31,'прогноз на 20.05.12'!F$7:F$83)+SUMIF('прогноз на 20.05.12'!$C$7:$C$83,$G31,'прогноз на 20.05.12'!F$7:F$83)+SUMIF('прогноз на 20.05.12'!$C$7:$C$83,$I31,'прогноз на 20.05.12'!F$7:F$83)+SUMIF('прогноз на 20.05.12'!$C$7:$C$83,$K31,'прогноз на 20.05.12'!F$7:F$83)</f>
        <v>42</v>
      </c>
      <c r="O31" s="44">
        <f t="shared" si="6"/>
        <v>331</v>
      </c>
      <c r="P31" s="41">
        <f>SUMIF('прогноз на 20.05.12'!$C$7:$C$83,$C31,'прогноз на 20.05.12'!H$7:H$83)+SUMIF('прогноз на 20.05.12'!$C$7:$C$83,$E31,'прогноз на 20.05.12'!H$7:H$83)+SUMIF('прогноз на 20.05.12'!$C$7:$C$83,$G31,'прогноз на 20.05.12'!H$7:H$83)+SUMIF('прогноз на 20.05.12'!$C$7:$C$83,$I31,'прогноз на 20.05.12'!H$7:H$83)+SUMIF('прогноз на 20.05.12'!$C$7:$C$83,$K31,'прогноз на 20.05.12'!H$7:H$83)</f>
        <v>8</v>
      </c>
      <c r="Q31" s="41">
        <f>SUMIF('прогноз на 20.05.12'!$C$7:$C$83,$C31,'прогноз на 20.05.12'!I$7:I$83)+SUMIF('прогноз на 20.05.12'!$C$7:$C$83,$E31,'прогноз на 20.05.12'!I$7:I$83)+SUMIF('прогноз на 20.05.12'!$C$7:$C$83,$G31,'прогноз на 20.05.12'!I$7:I$83)+SUMIF('прогноз на 20.05.12'!$C$7:$C$83,$I31,'прогноз на 20.05.12'!I$7:I$83)+SUMIF('прогноз на 20.05.12'!$C$7:$C$83,$K31,'прогноз на 20.05.12'!I$7:I$83)</f>
        <v>9</v>
      </c>
      <c r="R31" s="41">
        <f>SUMIF('прогноз на 20.05.12'!$C$7:$C$83,$C31,'прогноз на 20.05.12'!J$7:J$83)+SUMIF('прогноз на 20.05.12'!$C$7:$C$83,$E31,'прогноз на 20.05.12'!J$7:J$83)+SUMIF('прогноз на 20.05.12'!$C$7:$C$83,$G31,'прогноз на 20.05.12'!J$7:J$83)+SUMIF('прогноз на 20.05.12'!$C$7:$C$83,$I31,'прогноз на 20.05.12'!J$7:J$83)+SUMIF('прогноз на 20.05.12'!$C$7:$C$83,$K31,'прогноз на 20.05.12'!J$7:J$83)</f>
        <v>3</v>
      </c>
      <c r="S31" s="45">
        <f>P31+Q31+R31</f>
        <v>20</v>
      </c>
      <c r="T31" s="41">
        <f>SUMIF('прогноз на 20.05.12'!$C$7:$C$83,$C31,'прогноз на 20.05.12'!L$7:L$83)+SUMIF('прогноз на 20.05.12'!$C$7:$C$83,$E31,'прогноз на 20.05.12'!L$7:L$83)+SUMIF('прогноз на 20.05.12'!$C$7:$C$83,$G31,'прогноз на 20.05.12'!L$7:L$83)+SUMIF('прогноз на 20.05.12'!$C$7:$C$83,$I31,'прогноз на 20.05.12'!L$7:L$83)+SUMIF('прогноз на 20.05.12'!$C$7:$C$83,$K31,'прогноз на 20.05.12'!L$7:L$83)</f>
        <v>0</v>
      </c>
      <c r="U31" s="41">
        <f>SUMIF('прогноз на 20.05.12'!$C$7:$C$83,$C31,'прогноз на 20.05.12'!M$7:M$83)+SUMIF('прогноз на 20.05.12'!$C$7:$C$83,$E31,'прогноз на 20.05.12'!M$7:M$83)+SUMIF('прогноз на 20.05.12'!$C$7:$C$83,$G31,'прогноз на 20.05.12'!M$7:M$83)+SUMIF('прогноз на 20.05.12'!$C$7:$C$83,$I31,'прогноз на 20.05.12'!M$7:M$83)+SUMIF('прогноз на 20.05.12'!$C$7:$C$83,$K31,'прогноз на 20.05.12'!M$7:M$83)</f>
        <v>2</v>
      </c>
      <c r="V31" s="41">
        <f>SUMIF('прогноз на 20.05.12'!$C$7:$C$83,$C31,'прогноз на 20.05.12'!N$7:N$83)+SUMIF('прогноз на 20.05.12'!$C$7:$C$83,$E31,'прогноз на 20.05.12'!N$7:N$83)+SUMIF('прогноз на 20.05.12'!$C$7:$C$83,$G31,'прогноз на 20.05.12'!N$7:N$83)+SUMIF('прогноз на 20.05.12'!$C$7:$C$83,$I31,'прогноз на 20.05.12'!N$7:N$83)+SUMIF('прогноз на 20.05.12'!$C$7:$C$83,$K31,'прогноз на 20.05.12'!N$7:N$83)</f>
        <v>1</v>
      </c>
      <c r="W31" s="45">
        <f>T31+U31+V31</f>
        <v>3</v>
      </c>
      <c r="X31" s="41">
        <f>SUMIF('прогноз на 20.05.12'!$C$7:$C$83,$C31,'прогноз на 20.05.12'!P$7:P$83)+SUMIF('прогноз на 20.05.12'!$C$7:$C$83,$E31,'прогноз на 20.05.12'!P$7:P$83)+SUMIF('прогноз на 20.05.12'!$C$7:$C$83,$G31,'прогноз на 20.05.12'!P$7:P$83)+SUMIF('прогноз на 20.05.12'!$C$7:$C$83,$I31,'прогноз на 20.05.12'!P$7:P$83)+SUMIF('прогноз на 20.05.12'!$C$7:$C$83,$K31,'прогноз на 20.05.12'!P$7:P$83)</f>
        <v>3</v>
      </c>
      <c r="Y31" s="41">
        <f>SUMIF('прогноз на 20.05.12'!$C$7:$C$83,$C31,'прогноз на 20.05.12'!Q$7:Q$83)+SUMIF('прогноз на 20.05.12'!$C$7:$C$83,$E31,'прогноз на 20.05.12'!Q$7:Q$83)+SUMIF('прогноз на 20.05.12'!$C$7:$C$83,$G31,'прогноз на 20.05.12'!Q$7:Q$83)+SUMIF('прогноз на 20.05.12'!$C$7:$C$83,$I31,'прогноз на 20.05.12'!Q$7:Q$83)+SUMIF('прогноз на 20.05.12'!$C$7:$C$83,$K31,'прогноз на 20.05.12'!Q$7:Q$83)</f>
        <v>75</v>
      </c>
      <c r="Z31" s="45"/>
      <c r="AA31" s="41">
        <f>SUMIF('прогноз на 20.05.12'!$C$7:$C$83,$C31,'прогноз на 20.05.12'!S$7:S$83)+SUMIF('прогноз на 20.05.12'!$C$7:$C$83,$E31,'прогноз на 20.05.12'!S$7:S$83)+SUMIF('прогноз на 20.05.12'!$C$7:$C$83,$G31,'прогноз на 20.05.12'!S$7:S$83)+SUMIF('прогноз на 20.05.12'!$C$7:$C$83,$I31,'прогноз на 20.05.12'!S$7:S$83)+SUMIF('прогноз на 20.05.12'!$C$7:$C$83,$K31,'прогноз на 20.05.12'!S$7:S$83)</f>
        <v>112</v>
      </c>
      <c r="AB31" s="41">
        <f>SUMIF('прогноз на 20.05.12'!$C$7:$C$83,$C31,'прогноз на 20.05.12'!T$7:T$83)+SUMIF('прогноз на 20.05.12'!$C$7:$C$83,$E31,'прогноз на 20.05.12'!T$7:T$83)+SUMIF('прогноз на 20.05.12'!$C$7:$C$83,$G31,'прогноз на 20.05.12'!T$7:T$83)+SUMIF('прогноз на 20.05.12'!$C$7:$C$83,$I31,'прогноз на 20.05.12'!T$7:T$83)+SUMIF('прогноз на 20.05.12'!$C$7:$C$83,$K31,'прогноз на 20.05.12'!T$7:T$83)</f>
        <v>126</v>
      </c>
      <c r="AC31" s="41">
        <f>SUMIF('прогноз на 20.05.12'!$C$7:$C$83,$C31,'прогноз на 20.05.12'!U$7:U$83)+SUMIF('прогноз на 20.05.12'!$C$7:$C$83,$E31,'прогноз на 20.05.12'!U$7:U$83)+SUMIF('прогноз на 20.05.12'!$C$7:$C$83,$G31,'прогноз на 20.05.12'!U$7:U$83)+SUMIF('прогноз на 20.05.12'!$C$7:$C$83,$I31,'прогноз на 20.05.12'!U$7:U$83)+SUMIF('прогноз на 20.05.12'!$C$7:$C$83,$K31,'прогноз на 20.05.12'!U$7:U$83)</f>
        <v>42</v>
      </c>
      <c r="AD31" s="41">
        <f>SUMIF('прогноз на 20.05.12'!$C$7:$C$83,$C31,'прогноз на 20.05.12'!V$7:V$83)+SUMIF('прогноз на 20.05.12'!$C$7:$C$83,$E31,'прогноз на 20.05.12'!V$7:V$83)+SUMIF('прогноз на 20.05.12'!$C$7:$C$83,$G31,'прогноз на 20.05.12'!V$7:V$83)+SUMIF('прогноз на 20.05.12'!$C$7:$C$83,$I31,'прогноз на 20.05.12'!V$7:V$83)+SUMIF('прогноз на 20.05.12'!$C$7:$C$83,$K31,'прогноз на 20.05.12'!V$7:V$83)</f>
        <v>280</v>
      </c>
      <c r="AE31" s="41">
        <f>SUMIF('прогноз на 20.05.12'!$C$7:$C$83,$C31,'прогноз на 20.05.12'!W$7:W$83)+SUMIF('прогноз на 20.05.12'!$C$7:$C$83,$E31,'прогноз на 20.05.12'!W$7:W$83)+SUMIF('прогноз на 20.05.12'!$C$7:$C$83,$G31,'прогноз на 20.05.12'!W$7:W$83)+SUMIF('прогноз на 20.05.12'!$C$7:$C$83,$I31,'прогноз на 20.05.12'!W$7:W$83)+SUMIF('прогноз на 20.05.12'!$C$7:$C$83,$K31,'прогноз на 20.05.12'!W$7:W$83)</f>
        <v>-12</v>
      </c>
      <c r="AF31" s="41">
        <f>SUMIF('прогноз на 20.05.12'!$C$7:$C$83,$C31,'прогноз на 20.05.12'!X$7:X$83)+SUMIF('прогноз на 20.05.12'!$C$7:$C$83,$E31,'прогноз на 20.05.12'!X$7:X$83)+SUMIF('прогноз на 20.05.12'!$C$7:$C$83,$G31,'прогноз на 20.05.12'!X$7:X$83)+SUMIF('прогноз на 20.05.12'!$C$7:$C$83,$I31,'прогноз на 20.05.12'!X$7:X$83)+SUMIF('прогноз на 20.05.12'!$C$7:$C$83,$K31,'прогноз на 20.05.12'!X$7:X$83)</f>
        <v>-39</v>
      </c>
      <c r="AG31" s="41">
        <f>SUMIF('прогноз на 20.05.12'!$C$7:$C$83,$C31,'прогноз на 20.05.12'!Y$7:Y$83)+SUMIF('прогноз на 20.05.12'!$C$7:$C$83,$E31,'прогноз на 20.05.12'!Y$7:Y$83)+SUMIF('прогноз на 20.05.12'!$C$7:$C$83,$G31,'прогноз на 20.05.12'!Y$7:Y$83)+SUMIF('прогноз на 20.05.12'!$C$7:$C$83,$I31,'прогноз на 20.05.12'!Y$7:Y$83)+SUMIF('прогноз на 20.05.12'!$C$7:$C$83,$K31,'прогноз на 20.05.12'!Y$7:Y$83)</f>
        <v>0</v>
      </c>
      <c r="AH31" s="41">
        <f>SUMIF('прогноз на 20.05.12'!$C$7:$C$83,$C31,'прогноз на 20.05.12'!Z$7:Z$83)+SUMIF('прогноз на 20.05.12'!$C$7:$C$83,$E31,'прогноз на 20.05.12'!Z$7:Z$83)+SUMIF('прогноз на 20.05.12'!$C$7:$C$83,$G31,'прогноз на 20.05.12'!Z$7:Z$83)+SUMIF('прогноз на 20.05.12'!$C$7:$C$83,$I31,'прогноз на 20.05.12'!Z$7:Z$83)+SUMIF('прогноз на 20.05.12'!$C$7:$C$83,$K31,'прогноз на 20.05.12'!Z$7:Z$83)</f>
        <v>-51</v>
      </c>
      <c r="AI31" s="41">
        <f>SUMIF('прогноз на 20.05.12'!$C$7:$C$83,$C31,'прогноз на 20.05.12'!AA$7:AA$83)+SUMIF('прогноз на 20.05.12'!$C$7:$C$83,$E31,'прогноз на 20.05.12'!AA$7:AA$83)+SUMIF('прогноз на 20.05.12'!$C$7:$C$83,$G31,'прогноз на 20.05.12'!AA$7:AA$83)+SUMIF('прогноз на 20.05.12'!$C$7:$C$83,$I31,'прогноз на 20.05.12'!AA$7:AA$83)+SUMIF('прогноз на 20.05.12'!$C$7:$C$83,$K31,'прогноз на 20.05.12'!AA$7:AA$83)</f>
        <v>2.4000000000000004</v>
      </c>
      <c r="AJ31" s="41">
        <f>SUMIF('прогноз на 20.05.12'!$C$7:$C$83,$C31,'прогноз на 20.05.12'!AB$7:AB$83)+SUMIF('прогноз на 20.05.12'!$C$7:$C$83,$E31,'прогноз на 20.05.12'!AB$7:AB$83)+SUMIF('прогноз на 20.05.12'!$C$7:$C$83,$G31,'прогноз на 20.05.12'!AB$7:AB$83)+SUMIF('прогноз на 20.05.12'!$C$7:$C$83,$I31,'прогноз на 20.05.12'!AB$7:AB$83)+SUMIF('прогноз на 20.05.12'!$C$7:$C$83,$K31,'прогноз на 20.05.12'!AB$7:AB$83)</f>
        <v>7.8000000000000007</v>
      </c>
      <c r="AK31" s="41">
        <f>SUMIF('прогноз на 20.05.12'!$C$7:$C$83,$C31,'прогноз на 20.05.12'!AC$7:AC$83)+SUMIF('прогноз на 20.05.12'!$C$7:$C$83,$E31,'прогноз на 20.05.12'!AC$7:AC$83)+SUMIF('прогноз на 20.05.12'!$C$7:$C$83,$G31,'прогноз на 20.05.12'!AC$7:AC$83)+SUMIF('прогноз на 20.05.12'!$C$7:$C$83,$I31,'прогноз на 20.05.12'!AC$7:AC$83)+SUMIF('прогноз на 20.05.12'!$C$7:$C$83,$K31,'прогноз на 20.05.12'!AC$7:AC$83)</f>
        <v>0</v>
      </c>
      <c r="AL31" s="41">
        <f>SUMIF('прогноз на 20.05.12'!$C$7:$C$83,$C31,'прогноз на 20.05.12'!AD$7:AD$83)+SUMIF('прогноз на 20.05.12'!$C$7:$C$83,$E31,'прогноз на 20.05.12'!AD$7:AD$83)+SUMIF('прогноз на 20.05.12'!$C$7:$C$83,$G31,'прогноз на 20.05.12'!AD$7:AD$83)+SUMIF('прогноз на 20.05.12'!$C$7:$C$83,$I31,'прогноз на 20.05.12'!AD$7:AD$83)+SUMIF('прогноз на 20.05.12'!$C$7:$C$83,$K31,'прогноз на 20.05.12'!AD$7:AD$83)</f>
        <v>10.200000000000001</v>
      </c>
      <c r="AM31" s="41">
        <f>SUMIF('прогноз на 20.05.12'!$C$7:$C$83,$C31,'прогноз на 20.05.12'!AE$7:AE$83)+SUMIF('прогноз на 20.05.12'!$C$7:$C$83,$E31,'прогноз на 20.05.12'!AE$7:AE$83)+SUMIF('прогноз на 20.05.12'!$C$7:$C$83,$G31,'прогноз на 20.05.12'!AE$7:AE$83)+SUMIF('прогноз на 20.05.12'!$C$7:$C$83,$I31,'прогноз на 20.05.12'!AE$7:AE$83)+SUMIF('прогноз на 20.05.12'!$C$7:$C$83,$K31,'прогноз на 20.05.12'!AE$7:AE$83)</f>
        <v>126.4</v>
      </c>
      <c r="AN31" s="41">
        <f>SUMIF('прогноз на 20.05.12'!$C$7:$C$83,$C31,'прогноз на 20.05.12'!AF$7:AF$83)+SUMIF('прогноз на 20.05.12'!$C$7:$C$83,$E31,'прогноз на 20.05.12'!AF$7:AF$83)+SUMIF('прогноз на 20.05.12'!$C$7:$C$83,$G31,'прогноз на 20.05.12'!AF$7:AF$83)+SUMIF('прогноз на 20.05.12'!$C$7:$C$83,$I31,'прогноз на 20.05.12'!AF$7:AF$83)+SUMIF('прогноз на 20.05.12'!$C$7:$C$83,$K31,'прогноз на 20.05.12'!AF$7:AF$83)</f>
        <v>172.8</v>
      </c>
      <c r="AO31" s="41">
        <f>SUMIF('прогноз на 20.05.12'!$C$7:$C$83,$C31,'прогноз на 20.05.12'!AG$7:AG$83)+SUMIF('прогноз на 20.05.12'!$C$7:$C$83,$E31,'прогноз на 20.05.12'!AG$7:AG$83)+SUMIF('прогноз на 20.05.12'!$C$7:$C$83,$G31,'прогноз на 20.05.12'!AG$7:AG$83)+SUMIF('прогноз на 20.05.12'!$C$7:$C$83,$I31,'прогноз на 20.05.12'!AG$7:AG$83)+SUMIF('прогноз на 20.05.12'!$C$7:$C$83,$K31,'прогноз на 20.05.12'!AG$7:AG$83)</f>
        <v>42</v>
      </c>
      <c r="AP31" s="41">
        <f>SUMIF('прогноз на 20.05.12'!$C$7:$C$83,$C31,'прогноз на 20.05.12'!AH$7:AH$83)+SUMIF('прогноз на 20.05.12'!$C$7:$C$83,$E31,'прогноз на 20.05.12'!AH$7:AH$83)+SUMIF('прогноз на 20.05.12'!$C$7:$C$83,$G31,'прогноз на 20.05.12'!AH$7:AH$83)+SUMIF('прогноз на 20.05.12'!$C$7:$C$83,$I31,'прогноз на 20.05.12'!AH$7:AH$83)+SUMIF('прогноз на 20.05.12'!$C$7:$C$83,$K31,'прогноз на 20.05.12'!AH$7:AH$83)</f>
        <v>341.20000000000005</v>
      </c>
      <c r="AQ31" s="41">
        <f>SUMIF('прогноз на 20.05.12'!$C$7:$C$83,$C31,'прогноз на 20.05.12'!AM$7:AM$83)+SUMIF('прогноз на 20.05.12'!$C$7:$C$83,$E31,'прогноз на 20.05.12'!AM$7:AM$83)+SUMIF('прогноз на 20.05.12'!$C$7:$C$83,$G31,'прогноз на 20.05.12'!AM$7:AM$83)+SUMIF('прогноз на 20.05.12'!$C$7:$C$83,$I31,'прогноз на 20.05.12'!AM$7:AM$83)+SUMIF('прогноз на 20.05.12'!$C$7:$C$83,$K31,'прогноз на 20.05.12'!AM$7:AM$83)</f>
        <v>47896.80000000001</v>
      </c>
      <c r="AR31" s="41">
        <f>SUMIF('прогноз на 20.05.12'!$C$7:$C$83,$C31,'прогноз на 20.05.12'!AN$7:AN$83)+SUMIF('прогноз на 20.05.12'!$C$7:$C$83,$E31,'прогноз на 20.05.12'!AN$7:AN$83)+SUMIF('прогноз на 20.05.12'!$C$7:$C$83,$G31,'прогноз на 20.05.12'!AN$7:AN$83)+SUMIF('прогноз на 20.05.12'!$C$7:$C$83,$I31,'прогноз на 20.05.12'!AN$7:AN$83)+SUMIF('прогноз на 20.05.12'!$C$7:$C$83,$K31,'прогноз на 20.05.12'!AN$7:AN$83)</f>
        <v>265036.2</v>
      </c>
      <c r="AS31" s="41">
        <f>SUMIF('прогноз на 20.05.12'!$C$7:$C$83,$C31,'прогноз на 20.05.12'!AO$7:AO$83)+SUMIF('прогноз на 20.05.12'!$C$7:$C$83,$E31,'прогноз на 20.05.12'!AO$7:AO$83)+SUMIF('прогноз на 20.05.12'!$C$7:$C$83,$G31,'прогноз на 20.05.12'!AO$7:AO$83)+SUMIF('прогноз на 20.05.12'!$C$7:$C$83,$I31,'прогноз на 20.05.12'!AO$7:AO$83)+SUMIF('прогноз на 20.05.12'!$C$7:$C$83,$K31,'прогноз на 20.05.12'!AO$7:AO$83)</f>
        <v>0</v>
      </c>
      <c r="AT31" s="41">
        <f>SUMIF('прогноз на 20.05.12'!$C$7:$C$83,$C31,'прогноз на 20.05.12'!AP$7:AP$83)+SUMIF('прогноз на 20.05.12'!$C$7:$C$83,$E31,'прогноз на 20.05.12'!AP$7:AP$83)+SUMIF('прогноз на 20.05.12'!$C$7:$C$83,$G31,'прогноз на 20.05.12'!AP$7:AP$83)+SUMIF('прогноз на 20.05.12'!$C$7:$C$83,$I31,'прогноз на 20.05.12'!AP$7:AP$83)+SUMIF('прогноз на 20.05.12'!$C$7:$C$83,$K31,'прогноз на 20.05.12'!AP$7:AP$83)</f>
        <v>312933</v>
      </c>
      <c r="AU31" s="41">
        <f>SUMIF('прогноз на 20.05.12'!$C$7:$C$83,$C31,'прогноз на 20.05.12'!AU$7:AU$83)+SUMIF('прогноз на 20.05.12'!$C$7:$C$83,$E31,'прогноз на 20.05.12'!AU$7:AU$83)+SUMIF('прогноз на 20.05.12'!$C$7:$C$83,$G31,'прогноз на 20.05.12'!AU$7:AU$83)+SUMIF('прогноз на 20.05.12'!$C$7:$C$83,$I31,'прогноз на 20.05.12'!AU$7:AU$83)+SUMIF('прогноз на 20.05.12'!$C$7:$C$83,$K31,'прогноз на 20.05.12'!AU$7:AU$83)</f>
        <v>3036.0000000000005</v>
      </c>
      <c r="AV31" s="41">
        <f>SUMIF('прогноз на 20.05.12'!$C$7:$C$83,$C31,'прогноз на 20.05.12'!AV$7:AV$83)+SUMIF('прогноз на 20.05.12'!$C$7:$C$83,$E31,'прогноз на 20.05.12'!AV$7:AV$83)+SUMIF('прогноз на 20.05.12'!$C$7:$C$83,$G31,'прогноз на 20.05.12'!AV$7:AV$83)+SUMIF('прогноз на 20.05.12'!$C$7:$C$83,$I31,'прогноз на 20.05.12'!AV$7:AV$83)+SUMIF('прогноз на 20.05.12'!$C$7:$C$83,$K31,'прогноз на 20.05.12'!AV$7:AV$83)</f>
        <v>11239.800000000001</v>
      </c>
      <c r="AW31" s="41">
        <f>SUMIF('прогноз на 20.05.12'!$C$7:$C$83,$C31,'прогноз на 20.05.12'!AW$7:AW$83)+SUMIF('прогноз на 20.05.12'!$C$7:$C$83,$E31,'прогноз на 20.05.12'!AW$7:AW$83)+SUMIF('прогноз на 20.05.12'!$C$7:$C$83,$G31,'прогноз на 20.05.12'!AW$7:AW$83)+SUMIF('прогноз на 20.05.12'!$C$7:$C$83,$I31,'прогноз на 20.05.12'!AW$7:AW$83)+SUMIF('прогноз на 20.05.12'!$C$7:$C$83,$K31,'прогноз на 20.05.12'!AW$7:AW$83)</f>
        <v>0</v>
      </c>
      <c r="AX31" s="41">
        <f>SUMIF('прогноз на 20.05.12'!$C$7:$C$83,$C31,'прогноз на 20.05.12'!AX$7:AX$83)+SUMIF('прогноз на 20.05.12'!$C$7:$C$83,$E31,'прогноз на 20.05.12'!AX$7:AX$83)+SUMIF('прогноз на 20.05.12'!$C$7:$C$83,$G31,'прогноз на 20.05.12'!AX$7:AX$83)+SUMIF('прогноз на 20.05.12'!$C$7:$C$83,$I31,'прогноз на 20.05.12'!AX$7:AX$83)+SUMIF('прогноз на 20.05.12'!$C$7:$C$83,$K31,'прогноз на 20.05.12'!AX$7:AX$83)</f>
        <v>14275.800000000001</v>
      </c>
      <c r="AY31" s="41">
        <f>SUMIF('прогноз на 20.05.12'!$C$7:$C$83,$C31,'прогноз на 20.05.12'!AY$7:AY$83)+SUMIF('прогноз на 20.05.12'!$C$7:$C$83,$E31,'прогноз на 20.05.12'!AY$7:AY$83)+SUMIF('прогноз на 20.05.12'!$C$7:$C$83,$G31,'прогноз на 20.05.12'!AY$7:AY$83)+SUMIF('прогноз на 20.05.12'!$C$7:$C$83,$I31,'прогноз на 20.05.12'!AY$7:AY$83)+SUMIF('прогноз на 20.05.12'!$C$7:$C$83,$K31,'прогноз на 20.05.12'!AY$7:AY$83)</f>
        <v>50932.80000000001</v>
      </c>
      <c r="AZ31" s="41">
        <f>SUMIF('прогноз на 20.05.12'!$C$7:$C$83,$C31,'прогноз на 20.05.12'!AZ$7:AZ$83)+SUMIF('прогноз на 20.05.12'!$C$7:$C$83,$E31,'прогноз на 20.05.12'!AZ$7:AZ$83)+SUMIF('прогноз на 20.05.12'!$C$7:$C$83,$G31,'прогноз на 20.05.12'!AZ$7:AZ$83)+SUMIF('прогноз на 20.05.12'!$C$7:$C$83,$I31,'прогноз на 20.05.12'!AZ$7:AZ$83)+SUMIF('прогноз на 20.05.12'!$C$7:$C$83,$K31,'прогноз на 20.05.12'!AZ$7:AZ$83)</f>
        <v>276276</v>
      </c>
      <c r="BA31" s="41">
        <f>SUMIF('прогноз на 20.05.12'!$C$7:$C$83,$C31,'прогноз на 20.05.12'!BA$7:BA$83)+SUMIF('прогноз на 20.05.12'!$C$7:$C$83,$E31,'прогноз на 20.05.12'!BA$7:BA$83)+SUMIF('прогноз на 20.05.12'!$C$7:$C$83,$G31,'прогноз на 20.05.12'!BA$7:BA$83)+SUMIF('прогноз на 20.05.12'!$C$7:$C$83,$I31,'прогноз на 20.05.12'!BA$7:BA$83)+SUMIF('прогноз на 20.05.12'!$C$7:$C$83,$K31,'прогноз на 20.05.12'!BA$7:BA$83)</f>
        <v>0</v>
      </c>
      <c r="BB31" s="41">
        <f>SUMIF('прогноз на 20.05.12'!$C$7:$C$83,$C31,'прогноз на 20.05.12'!BB$7:BB$83)+SUMIF('прогноз на 20.05.12'!$C$7:$C$83,$E31,'прогноз на 20.05.12'!BB$7:BB$83)+SUMIF('прогноз на 20.05.12'!$C$7:$C$83,$G31,'прогноз на 20.05.12'!BB$7:BB$83)+SUMIF('прогноз на 20.05.12'!$C$7:$C$83,$I31,'прогноз на 20.05.12'!BB$7:BB$83)+SUMIF('прогноз на 20.05.12'!$C$7:$C$83,$K31,'прогноз на 20.05.12'!BB$7:BB$83)</f>
        <v>327208.8</v>
      </c>
      <c r="BC31" s="41">
        <f>SUMIF('прогноз на 20.05.12'!$C$7:$C$83,$C31,'прогноз на 20.05.12'!BC$7:BC$83)+SUMIF('прогноз на 20.05.12'!$C$7:$C$83,$E31,'прогноз на 20.05.12'!BC$7:BC$83)+SUMIF('прогноз на 20.05.12'!$C$7:$C$83,$G31,'прогноз на 20.05.12'!BC$7:BC$83)+SUMIF('прогноз на 20.05.12'!$C$7:$C$83,$I31,'прогноз на 20.05.12'!BC$7:BC$83)+SUMIF('прогноз на 20.05.12'!$C$7:$C$83,$K31,'прогноз на 20.05.12'!BC$7:BC$83)</f>
        <v>1076677</v>
      </c>
      <c r="BD31" s="41">
        <f>SUMIF('прогноз на 20.05.12'!$C$7:$C$83,$C31,'прогноз на 20.05.12'!BD$7:BD$83)+SUMIF('прогноз на 20.05.12'!$C$7:$C$83,$E31,'прогноз на 20.05.12'!BD$7:BD$83)+SUMIF('прогноз на 20.05.12'!$C$7:$C$83,$G31,'прогноз на 20.05.12'!BD$7:BD$83)+SUMIF('прогноз на 20.05.12'!$C$7:$C$83,$I31,'прогноз на 20.05.12'!BD$7:BD$83)+SUMIF('прогноз на 20.05.12'!$C$7:$C$83,$K31,'прогноз на 20.05.12'!BD$7:BD$83)</f>
        <v>1076677</v>
      </c>
      <c r="BE31" s="41">
        <f>SUMIF('прогноз на 20.05.12'!$C$7:$C$83,$C31,'прогноз на 20.05.12'!BE$7:BE$83)+SUMIF('прогноз на 20.05.12'!$C$7:$C$83,$E31,'прогноз на 20.05.12'!BE$7:BE$83)+SUMIF('прогноз на 20.05.12'!$C$7:$C$83,$G31,'прогноз на 20.05.12'!BE$7:BE$83)+SUMIF('прогноз на 20.05.12'!$C$7:$C$83,$I31,'прогноз на 20.05.12'!BE$7:BE$83)+SUMIF('прогноз на 20.05.12'!$C$7:$C$83,$K31,'прогноз на 20.05.12'!BE$7:BE$83)</f>
        <v>0</v>
      </c>
      <c r="BF31" s="41">
        <f>SUMIF('прогноз на 20.05.12'!$C$7:$C$83,$C31,'прогноз на 20.05.12'!BF$7:BF$83)+SUMIF('прогноз на 20.05.12'!$C$7:$C$83,$E31,'прогноз на 20.05.12'!BF$7:BF$83)+SUMIF('прогноз на 20.05.12'!$C$7:$C$83,$G31,'прогноз на 20.05.12'!BF$7:BF$83)+SUMIF('прогноз на 20.05.12'!$C$7:$C$83,$I31,'прогноз на 20.05.12'!BF$7:BF$83)+SUMIF('прогноз на 20.05.12'!$C$7:$C$83,$K31,'прогноз на 20.05.12'!BF$7:BF$83)</f>
        <v>749468.2</v>
      </c>
      <c r="BG31" s="41">
        <f>SUMIF('прогноз на 20.05.12'!$C$7:$C$83,$C31,'прогноз на 20.05.12'!BG$7:BG$83)+SUMIF('прогноз на 20.05.12'!$C$7:$C$83,$E31,'прогноз на 20.05.12'!BG$7:BG$83)+SUMIF('прогноз на 20.05.12'!$C$7:$C$83,$G31,'прогноз на 20.05.12'!BG$7:BG$83)+SUMIF('прогноз на 20.05.12'!$C$7:$C$83,$I31,'прогноз на 20.05.12'!BG$7:BG$83)+SUMIF('прогноз на 20.05.12'!$C$7:$C$83,$K31,'прогноз на 20.05.12'!BG$7:BG$83)</f>
        <v>749468.2</v>
      </c>
      <c r="BH31" s="41">
        <f>SUMIF('прогноз на 20.05.12'!$C$7:$C$83,$C31,'прогноз на 20.05.12'!BH$7:BH$83)+SUMIF('прогноз на 20.05.12'!$C$7:$C$83,$E31,'прогноз на 20.05.12'!BH$7:BH$83)+SUMIF('прогноз на 20.05.12'!$C$7:$C$83,$G31,'прогноз на 20.05.12'!BH$7:BH$83)+SUMIF('прогноз на 20.05.12'!$C$7:$C$83,$I31,'прогноз на 20.05.12'!BH$7:BH$83)+SUMIF('прогноз на 20.05.12'!$C$7:$C$83,$K31,'прогноз на 20.05.12'!BH$7:BH$83)</f>
        <v>0</v>
      </c>
      <c r="BI31" s="90">
        <f t="shared" si="10"/>
        <v>15.5</v>
      </c>
      <c r="BJ31" s="90">
        <f t="shared" si="11"/>
        <v>18.333333333333332</v>
      </c>
      <c r="BK31" s="90">
        <f t="shared" si="12"/>
        <v>14</v>
      </c>
      <c r="BL31" s="90">
        <f t="shared" si="13"/>
        <v>16.55</v>
      </c>
    </row>
    <row r="32" spans="1:64" s="59" customFormat="1" ht="18.75">
      <c r="A32" s="38">
        <v>26</v>
      </c>
      <c r="B32" s="39" t="s">
        <v>69</v>
      </c>
      <c r="C32" s="40" t="s">
        <v>235</v>
      </c>
      <c r="D32" s="56" t="s">
        <v>17</v>
      </c>
      <c r="E32" s="56" t="s">
        <v>198</v>
      </c>
      <c r="F32" s="56" t="s">
        <v>29</v>
      </c>
      <c r="G32" s="56" t="s">
        <v>221</v>
      </c>
      <c r="H32" s="56" t="s">
        <v>40</v>
      </c>
      <c r="I32" s="56" t="s">
        <v>244</v>
      </c>
      <c r="J32" s="58"/>
      <c r="K32" s="58"/>
      <c r="L32" s="41">
        <f>SUMIF('прогноз на 20.05.12'!$C$7:$C$83,$C32,'прогноз на 20.05.12'!D$7:D$83)+SUMIF('прогноз на 20.05.12'!$C$7:$C$83,$E32,'прогноз на 20.05.12'!D$7:D$83)+SUMIF('прогноз на 20.05.12'!$C$7:$C$83,$G32,'прогноз на 20.05.12'!D$7:D$83)+SUMIF('прогноз на 20.05.12'!$C$7:$C$83,$I32,'прогноз на 20.05.12'!D$7:D$83)+SUMIF('прогноз на 20.05.12'!$C$7:$C$83,$K32,'прогноз на 20.05.12'!D$7:D$83)</f>
        <v>44</v>
      </c>
      <c r="M32" s="41">
        <f>SUMIF('прогноз на 20.05.12'!$C$7:$C$83,$C32,'прогноз на 20.05.12'!E$7:E$83)+SUMIF('прогноз на 20.05.12'!$C$7:$C$83,$E32,'прогноз на 20.05.12'!E$7:E$83)+SUMIF('прогноз на 20.05.12'!$C$7:$C$83,$G32,'прогноз на 20.05.12'!E$7:E$83)+SUMIF('прогноз на 20.05.12'!$C$7:$C$83,$I32,'прогноз на 20.05.12'!E$7:E$83)+SUMIF('прогноз на 20.05.12'!$C$7:$C$83,$K32,'прогноз на 20.05.12'!E$7:E$83)</f>
        <v>92</v>
      </c>
      <c r="N32" s="41">
        <f>SUMIF('прогноз на 20.05.12'!$C$7:$C$83,$C32,'прогноз на 20.05.12'!F$7:F$83)+SUMIF('прогноз на 20.05.12'!$C$7:$C$83,$E32,'прогноз на 20.05.12'!F$7:F$83)+SUMIF('прогноз на 20.05.12'!$C$7:$C$83,$G32,'прогноз на 20.05.12'!F$7:F$83)+SUMIF('прогноз на 20.05.12'!$C$7:$C$83,$I32,'прогноз на 20.05.12'!F$7:F$83)+SUMIF('прогноз на 20.05.12'!$C$7:$C$83,$K32,'прогноз на 20.05.12'!F$7:F$83)</f>
        <v>30</v>
      </c>
      <c r="O32" s="44">
        <f t="shared" si="6"/>
        <v>166</v>
      </c>
      <c r="P32" s="41">
        <f>SUMIF('прогноз на 20.05.12'!$C$7:$C$83,$C32,'прогноз на 20.05.12'!H$7:H$83)+SUMIF('прогноз на 20.05.12'!$C$7:$C$83,$E32,'прогноз на 20.05.12'!H$7:H$83)+SUMIF('прогноз на 20.05.12'!$C$7:$C$83,$G32,'прогноз на 20.05.12'!H$7:H$83)+SUMIF('прогноз на 20.05.12'!$C$7:$C$83,$I32,'прогноз на 20.05.12'!H$7:H$83)+SUMIF('прогноз на 20.05.12'!$C$7:$C$83,$K32,'прогноз на 20.05.12'!H$7:H$83)</f>
        <v>9</v>
      </c>
      <c r="Q32" s="41">
        <f>SUMIF('прогноз на 20.05.12'!$C$7:$C$83,$C32,'прогноз на 20.05.12'!I$7:I$83)+SUMIF('прогноз на 20.05.12'!$C$7:$C$83,$E32,'прогноз на 20.05.12'!I$7:I$83)+SUMIF('прогноз на 20.05.12'!$C$7:$C$83,$G32,'прогноз на 20.05.12'!I$7:I$83)+SUMIF('прогноз на 20.05.12'!$C$7:$C$83,$I32,'прогноз на 20.05.12'!I$7:I$83)+SUMIF('прогноз на 20.05.12'!$C$7:$C$83,$K32,'прогноз на 20.05.12'!I$7:I$83)</f>
        <v>5</v>
      </c>
      <c r="R32" s="41">
        <f>SUMIF('прогноз на 20.05.12'!$C$7:$C$83,$C32,'прогноз на 20.05.12'!J$7:J$83)+SUMIF('прогноз на 20.05.12'!$C$7:$C$83,$E32,'прогноз на 20.05.12'!J$7:J$83)+SUMIF('прогноз на 20.05.12'!$C$7:$C$83,$G32,'прогноз на 20.05.12'!J$7:J$83)+SUMIF('прогноз на 20.05.12'!$C$7:$C$83,$I32,'прогноз на 20.05.12'!J$7:J$83)+SUMIF('прогноз на 20.05.12'!$C$7:$C$83,$K32,'прогноз на 20.05.12'!J$7:J$83)</f>
        <v>2</v>
      </c>
      <c r="S32" s="45">
        <f t="shared" si="7"/>
        <v>16</v>
      </c>
      <c r="T32" s="41">
        <f>SUMIF('прогноз на 20.05.12'!$C$7:$C$83,$C32,'прогноз на 20.05.12'!L$7:L$83)+SUMIF('прогноз на 20.05.12'!$C$7:$C$83,$E32,'прогноз на 20.05.12'!L$7:L$83)+SUMIF('прогноз на 20.05.12'!$C$7:$C$83,$G32,'прогноз на 20.05.12'!L$7:L$83)+SUMIF('прогноз на 20.05.12'!$C$7:$C$83,$I32,'прогноз на 20.05.12'!L$7:L$83)+SUMIF('прогноз на 20.05.12'!$C$7:$C$83,$K32,'прогноз на 20.05.12'!L$7:L$83)</f>
        <v>0</v>
      </c>
      <c r="U32" s="41">
        <f>SUMIF('прогноз на 20.05.12'!$C$7:$C$83,$C32,'прогноз на 20.05.12'!M$7:M$83)+SUMIF('прогноз на 20.05.12'!$C$7:$C$83,$E32,'прогноз на 20.05.12'!M$7:M$83)+SUMIF('прогноз на 20.05.12'!$C$7:$C$83,$G32,'прогноз на 20.05.12'!M$7:M$83)+SUMIF('прогноз на 20.05.12'!$C$7:$C$83,$I32,'прогноз на 20.05.12'!M$7:M$83)+SUMIF('прогноз на 20.05.12'!$C$7:$C$83,$K32,'прогноз на 20.05.12'!M$7:M$83)</f>
        <v>0</v>
      </c>
      <c r="V32" s="41">
        <f>SUMIF('прогноз на 20.05.12'!$C$7:$C$83,$C32,'прогноз на 20.05.12'!N$7:N$83)+SUMIF('прогноз на 20.05.12'!$C$7:$C$83,$E32,'прогноз на 20.05.12'!N$7:N$83)+SUMIF('прогноз на 20.05.12'!$C$7:$C$83,$G32,'прогноз на 20.05.12'!N$7:N$83)+SUMIF('прогноз на 20.05.12'!$C$7:$C$83,$I32,'прогноз на 20.05.12'!N$7:N$83)+SUMIF('прогноз на 20.05.12'!$C$7:$C$83,$K32,'прогноз на 20.05.12'!N$7:N$83)</f>
        <v>0</v>
      </c>
      <c r="W32" s="45">
        <f t="shared" si="8"/>
        <v>0</v>
      </c>
      <c r="X32" s="41">
        <f>SUMIF('прогноз на 20.05.12'!$C$7:$C$83,$C32,'прогноз на 20.05.12'!P$7:P$83)+SUMIF('прогноз на 20.05.12'!$C$7:$C$83,$E32,'прогноз на 20.05.12'!P$7:P$83)+SUMIF('прогноз на 20.05.12'!$C$7:$C$83,$G32,'прогноз на 20.05.12'!P$7:P$83)+SUMIF('прогноз на 20.05.12'!$C$7:$C$83,$I32,'прогноз на 20.05.12'!P$7:P$83)+SUMIF('прогноз на 20.05.12'!$C$7:$C$83,$K32,'прогноз на 20.05.12'!P$7:P$83)</f>
        <v>1</v>
      </c>
      <c r="Y32" s="41">
        <f>SUMIF('прогноз на 20.05.12'!$C$7:$C$83,$C32,'прогноз на 20.05.12'!Q$7:Q$83)+SUMIF('прогноз на 20.05.12'!$C$7:$C$83,$E32,'прогноз на 20.05.12'!Q$7:Q$83)+SUMIF('прогноз на 20.05.12'!$C$7:$C$83,$G32,'прогноз на 20.05.12'!Q$7:Q$83)+SUMIF('прогноз на 20.05.12'!$C$7:$C$83,$I32,'прогноз на 20.05.12'!Q$7:Q$83)+SUMIF('прогноз на 20.05.12'!$C$7:$C$83,$K32,'прогноз на 20.05.12'!Q$7:Q$83)</f>
        <v>25</v>
      </c>
      <c r="Z32" s="45"/>
      <c r="AA32" s="41">
        <f>SUMIF('прогноз на 20.05.12'!$C$7:$C$83,$C32,'прогноз на 20.05.12'!S$7:S$83)+SUMIF('прогноз на 20.05.12'!$C$7:$C$83,$E32,'прогноз на 20.05.12'!S$7:S$83)+SUMIF('прогноз на 20.05.12'!$C$7:$C$83,$G32,'прогноз на 20.05.12'!S$7:S$83)+SUMIF('прогноз на 20.05.12'!$C$7:$C$83,$I32,'прогноз на 20.05.12'!S$7:S$83)+SUMIF('прогноз на 20.05.12'!$C$7:$C$83,$K32,'прогноз на 20.05.12'!S$7:S$83)</f>
        <v>56</v>
      </c>
      <c r="AB32" s="41">
        <f>SUMIF('прогноз на 20.05.12'!$C$7:$C$83,$C32,'прогноз на 20.05.12'!T$7:T$83)+SUMIF('прогноз на 20.05.12'!$C$7:$C$83,$E32,'прогноз на 20.05.12'!T$7:T$83)+SUMIF('прогноз на 20.05.12'!$C$7:$C$83,$G32,'прогноз на 20.05.12'!T$7:T$83)+SUMIF('прогноз на 20.05.12'!$C$7:$C$83,$I32,'прогноз на 20.05.12'!T$7:T$83)+SUMIF('прогноз на 20.05.12'!$C$7:$C$83,$K32,'прогноз на 20.05.12'!T$7:T$83)</f>
        <v>70</v>
      </c>
      <c r="AC32" s="41">
        <f>SUMIF('прогноз на 20.05.12'!$C$7:$C$83,$C32,'прогноз на 20.05.12'!U$7:U$83)+SUMIF('прогноз на 20.05.12'!$C$7:$C$83,$E32,'прогноз на 20.05.12'!U$7:U$83)+SUMIF('прогноз на 20.05.12'!$C$7:$C$83,$G32,'прогноз на 20.05.12'!U$7:U$83)+SUMIF('прогноз на 20.05.12'!$C$7:$C$83,$I32,'прогноз на 20.05.12'!U$7:U$83)+SUMIF('прогноз на 20.05.12'!$C$7:$C$83,$K32,'прогноз на 20.05.12'!U$7:U$83)</f>
        <v>28</v>
      </c>
      <c r="AD32" s="41">
        <f>SUMIF('прогноз на 20.05.12'!$C$7:$C$83,$C32,'прогноз на 20.05.12'!V$7:V$83)+SUMIF('прогноз на 20.05.12'!$C$7:$C$83,$E32,'прогноз на 20.05.12'!V$7:V$83)+SUMIF('прогноз на 20.05.12'!$C$7:$C$83,$G32,'прогноз на 20.05.12'!V$7:V$83)+SUMIF('прогноз на 20.05.12'!$C$7:$C$83,$I32,'прогноз на 20.05.12'!V$7:V$83)+SUMIF('прогноз на 20.05.12'!$C$7:$C$83,$K32,'прогноз на 20.05.12'!V$7:V$83)</f>
        <v>154</v>
      </c>
      <c r="AE32" s="41">
        <f>SUMIF('прогноз на 20.05.12'!$C$7:$C$83,$C32,'прогноз на 20.05.12'!W$7:W$83)+SUMIF('прогноз на 20.05.12'!$C$7:$C$83,$E32,'прогноз на 20.05.12'!W$7:W$83)+SUMIF('прогноз на 20.05.12'!$C$7:$C$83,$G32,'прогноз на 20.05.12'!W$7:W$83)+SUMIF('прогноз на 20.05.12'!$C$7:$C$83,$I32,'прогноз на 20.05.12'!W$7:W$83)+SUMIF('прогноз на 20.05.12'!$C$7:$C$83,$K32,'прогноз на 20.05.12'!W$7:W$83)</f>
        <v>12</v>
      </c>
      <c r="AF32" s="41">
        <f>SUMIF('прогноз на 20.05.12'!$C$7:$C$83,$C32,'прогноз на 20.05.12'!X$7:X$83)+SUMIF('прогноз на 20.05.12'!$C$7:$C$83,$E32,'прогноз на 20.05.12'!X$7:X$83)+SUMIF('прогноз на 20.05.12'!$C$7:$C$83,$G32,'прогноз на 20.05.12'!X$7:X$83)+SUMIF('прогноз на 20.05.12'!$C$7:$C$83,$I32,'прогноз на 20.05.12'!X$7:X$83)+SUMIF('прогноз на 20.05.12'!$C$7:$C$83,$K32,'прогноз на 20.05.12'!X$7:X$83)</f>
        <v>-22</v>
      </c>
      <c r="AG32" s="41">
        <f>SUMIF('прогноз на 20.05.12'!$C$7:$C$83,$C32,'прогноз на 20.05.12'!Y$7:Y$83)+SUMIF('прогноз на 20.05.12'!$C$7:$C$83,$E32,'прогноз на 20.05.12'!Y$7:Y$83)+SUMIF('прогноз на 20.05.12'!$C$7:$C$83,$G32,'прогноз на 20.05.12'!Y$7:Y$83)+SUMIF('прогноз на 20.05.12'!$C$7:$C$83,$I32,'прогноз на 20.05.12'!Y$7:Y$83)+SUMIF('прогноз на 20.05.12'!$C$7:$C$83,$K32,'прогноз на 20.05.12'!Y$7:Y$83)</f>
        <v>-2</v>
      </c>
      <c r="AH32" s="41">
        <f>SUMIF('прогноз на 20.05.12'!$C$7:$C$83,$C32,'прогноз на 20.05.12'!Z$7:Z$83)+SUMIF('прогноз на 20.05.12'!$C$7:$C$83,$E32,'прогноз на 20.05.12'!Z$7:Z$83)+SUMIF('прогноз на 20.05.12'!$C$7:$C$83,$G32,'прогноз на 20.05.12'!Z$7:Z$83)+SUMIF('прогноз на 20.05.12'!$C$7:$C$83,$I32,'прогноз на 20.05.12'!Z$7:Z$83)+SUMIF('прогноз на 20.05.12'!$C$7:$C$83,$K32,'прогноз на 20.05.12'!Z$7:Z$83)</f>
        <v>-12</v>
      </c>
      <c r="AI32" s="41">
        <f>SUMIF('прогноз на 20.05.12'!$C$7:$C$83,$C32,'прогноз на 20.05.12'!AA$7:AA$83)+SUMIF('прогноз на 20.05.12'!$C$7:$C$83,$E32,'прогноз на 20.05.12'!AA$7:AA$83)+SUMIF('прогноз на 20.05.12'!$C$7:$C$83,$G32,'прогноз на 20.05.12'!AA$7:AA$83)+SUMIF('прогноз на 20.05.12'!$C$7:$C$83,$I32,'прогноз на 20.05.12'!AA$7:AA$83)+SUMIF('прогноз на 20.05.12'!$C$7:$C$83,$K32,'прогноз на 20.05.12'!AA$7:AA$83)</f>
        <v>9</v>
      </c>
      <c r="AJ32" s="41">
        <f>SUMIF('прогноз на 20.05.12'!$C$7:$C$83,$C32,'прогноз на 20.05.12'!AB$7:AB$83)+SUMIF('прогноз на 20.05.12'!$C$7:$C$83,$E32,'прогноз на 20.05.12'!AB$7:AB$83)+SUMIF('прогноз на 20.05.12'!$C$7:$C$83,$G32,'прогноз на 20.05.12'!AB$7:AB$83)+SUMIF('прогноз на 20.05.12'!$C$7:$C$83,$I32,'прогноз на 20.05.12'!AB$7:AB$83)+SUMIF('прогноз на 20.05.12'!$C$7:$C$83,$K32,'прогноз на 20.05.12'!AB$7:AB$83)</f>
        <v>4.4000000000000004</v>
      </c>
      <c r="AK32" s="41">
        <f>SUMIF('прогноз на 20.05.12'!$C$7:$C$83,$C32,'прогноз на 20.05.12'!AC$7:AC$83)+SUMIF('прогноз на 20.05.12'!$C$7:$C$83,$E32,'прогноз на 20.05.12'!AC$7:AC$83)+SUMIF('прогноз на 20.05.12'!$C$7:$C$83,$G32,'прогноз на 20.05.12'!AC$7:AC$83)+SUMIF('прогноз на 20.05.12'!$C$7:$C$83,$I32,'прогноз на 20.05.12'!AC$7:AC$83)+SUMIF('прогноз на 20.05.12'!$C$7:$C$83,$K32,'прогноз на 20.05.12'!AC$7:AC$83)</f>
        <v>0.4</v>
      </c>
      <c r="AL32" s="41">
        <f>SUMIF('прогноз на 20.05.12'!$C$7:$C$83,$C32,'прогноз на 20.05.12'!AD$7:AD$83)+SUMIF('прогноз на 20.05.12'!$C$7:$C$83,$E32,'прогноз на 20.05.12'!AD$7:AD$83)+SUMIF('прогноз на 20.05.12'!$C$7:$C$83,$G32,'прогноз на 20.05.12'!AD$7:AD$83)+SUMIF('прогноз на 20.05.12'!$C$7:$C$83,$I32,'прогноз на 20.05.12'!AD$7:AD$83)+SUMIF('прогноз на 20.05.12'!$C$7:$C$83,$K32,'прогноз на 20.05.12'!AD$7:AD$83)</f>
        <v>13.8</v>
      </c>
      <c r="AM32" s="41">
        <f>SUMIF('прогноз на 20.05.12'!$C$7:$C$83,$C32,'прогноз на 20.05.12'!AE$7:AE$83)+SUMIF('прогноз на 20.05.12'!$C$7:$C$83,$E32,'прогноз на 20.05.12'!AE$7:AE$83)+SUMIF('прогноз на 20.05.12'!$C$7:$C$83,$G32,'прогноз на 20.05.12'!AE$7:AE$83)+SUMIF('прогноз на 20.05.12'!$C$7:$C$83,$I32,'прогноз на 20.05.12'!AE$7:AE$83)+SUMIF('прогноз на 20.05.12'!$C$7:$C$83,$K32,'прогноз на 20.05.12'!AE$7:AE$83)</f>
        <v>53</v>
      </c>
      <c r="AN32" s="41">
        <f>SUMIF('прогноз на 20.05.12'!$C$7:$C$83,$C32,'прогноз на 20.05.12'!AF$7:AF$83)+SUMIF('прогноз на 20.05.12'!$C$7:$C$83,$E32,'прогноз на 20.05.12'!AF$7:AF$83)+SUMIF('прогноз на 20.05.12'!$C$7:$C$83,$G32,'прогноз на 20.05.12'!AF$7:AF$83)+SUMIF('прогноз на 20.05.12'!$C$7:$C$83,$I32,'прогноз на 20.05.12'!AF$7:AF$83)+SUMIF('прогноз на 20.05.12'!$C$7:$C$83,$K32,'прогноз на 20.05.12'!AF$7:AF$83)</f>
        <v>96.4</v>
      </c>
      <c r="AO32" s="41">
        <f>SUMIF('прогноз на 20.05.12'!$C$7:$C$83,$C32,'прогноз на 20.05.12'!AG$7:AG$83)+SUMIF('прогноз на 20.05.12'!$C$7:$C$83,$E32,'прогноз на 20.05.12'!AG$7:AG$83)+SUMIF('прогноз на 20.05.12'!$C$7:$C$83,$G32,'прогноз на 20.05.12'!AG$7:AG$83)+SUMIF('прогноз на 20.05.12'!$C$7:$C$83,$I32,'прогноз на 20.05.12'!AG$7:AG$83)+SUMIF('прогноз на 20.05.12'!$C$7:$C$83,$K32,'прогноз на 20.05.12'!AG$7:AG$83)</f>
        <v>30.4</v>
      </c>
      <c r="AP32" s="41">
        <f>SUMIF('прогноз на 20.05.12'!$C$7:$C$83,$C32,'прогноз на 20.05.12'!AH$7:AH$83)+SUMIF('прогноз на 20.05.12'!$C$7:$C$83,$E32,'прогноз на 20.05.12'!AH$7:AH$83)+SUMIF('прогноз на 20.05.12'!$C$7:$C$83,$G32,'прогноз на 20.05.12'!AH$7:AH$83)+SUMIF('прогноз на 20.05.12'!$C$7:$C$83,$I32,'прогноз на 20.05.12'!AH$7:AH$83)+SUMIF('прогноз на 20.05.12'!$C$7:$C$83,$K32,'прогноз на 20.05.12'!AH$7:AH$83)</f>
        <v>179.8</v>
      </c>
      <c r="AQ32" s="41">
        <f>SUMIF('прогноз на 20.05.12'!$C$7:$C$83,$C32,'прогноз на 20.05.12'!AM$7:AM$83)+SUMIF('прогноз на 20.05.12'!$C$7:$C$83,$E32,'прогноз на 20.05.12'!AM$7:AM$83)+SUMIF('прогноз на 20.05.12'!$C$7:$C$83,$G32,'прогноз на 20.05.12'!AM$7:AM$83)+SUMIF('прогноз на 20.05.12'!$C$7:$C$83,$I32,'прогноз на 20.05.12'!AM$7:AM$83)+SUMIF('прогноз на 20.05.12'!$C$7:$C$83,$K32,'прогноз на 20.05.12'!AM$7:AM$83)</f>
        <v>179613</v>
      </c>
      <c r="AR32" s="41">
        <f>SUMIF('прогноз на 20.05.12'!$C$7:$C$83,$C32,'прогноз на 20.05.12'!AN$7:AN$83)+SUMIF('прогноз на 20.05.12'!$C$7:$C$83,$E32,'прогноз на 20.05.12'!AN$7:AN$83)+SUMIF('прогноз на 20.05.12'!$C$7:$C$83,$G32,'прогноз на 20.05.12'!AN$7:AN$83)+SUMIF('прогноз на 20.05.12'!$C$7:$C$83,$I32,'прогноз на 20.05.12'!AN$7:AN$83)+SUMIF('прогноз на 20.05.12'!$C$7:$C$83,$K32,'прогноз на 20.05.12'!AN$7:AN$83)</f>
        <v>149507.6</v>
      </c>
      <c r="AS32" s="41">
        <f>SUMIF('прогноз на 20.05.12'!$C$7:$C$83,$C32,'прогноз на 20.05.12'!AO$7:AO$83)+SUMIF('прогноз на 20.05.12'!$C$7:$C$83,$E32,'прогноз на 20.05.12'!AO$7:AO$83)+SUMIF('прогноз на 20.05.12'!$C$7:$C$83,$G32,'прогноз на 20.05.12'!AO$7:AO$83)+SUMIF('прогноз на 20.05.12'!$C$7:$C$83,$I32,'прогноз на 20.05.12'!AO$7:AO$83)+SUMIF('прогноз на 20.05.12'!$C$7:$C$83,$K32,'прогноз на 20.05.12'!AO$7:AO$83)</f>
        <v>14514.800000000001</v>
      </c>
      <c r="AT32" s="41">
        <f>SUMIF('прогноз на 20.05.12'!$C$7:$C$83,$C32,'прогноз на 20.05.12'!AP$7:AP$83)+SUMIF('прогноз на 20.05.12'!$C$7:$C$83,$E32,'прогноз на 20.05.12'!AP$7:AP$83)+SUMIF('прогноз на 20.05.12'!$C$7:$C$83,$G32,'прогноз на 20.05.12'!AP$7:AP$83)+SUMIF('прогноз на 20.05.12'!$C$7:$C$83,$I32,'прогноз на 20.05.12'!AP$7:AP$83)+SUMIF('прогноз на 20.05.12'!$C$7:$C$83,$K32,'прогноз на 20.05.12'!AP$7:AP$83)</f>
        <v>343635.39999999997</v>
      </c>
      <c r="AU32" s="41">
        <f>SUMIF('прогноз на 20.05.12'!$C$7:$C$83,$C32,'прогноз на 20.05.12'!AU$7:AU$83)+SUMIF('прогноз на 20.05.12'!$C$7:$C$83,$E32,'прогноз на 20.05.12'!AU$7:AU$83)+SUMIF('прогноз на 20.05.12'!$C$7:$C$83,$G32,'прогноз на 20.05.12'!AU$7:AU$83)+SUMIF('прогноз на 20.05.12'!$C$7:$C$83,$I32,'прогноз на 20.05.12'!AU$7:AU$83)+SUMIF('прогноз на 20.05.12'!$C$7:$C$83,$K32,'прогноз на 20.05.12'!AU$7:AU$83)</f>
        <v>11385</v>
      </c>
      <c r="AV32" s="41">
        <f>SUMIF('прогноз на 20.05.12'!$C$7:$C$83,$C32,'прогноз на 20.05.12'!AV$7:AV$83)+SUMIF('прогноз на 20.05.12'!$C$7:$C$83,$E32,'прогноз на 20.05.12'!AV$7:AV$83)+SUMIF('прогноз на 20.05.12'!$C$7:$C$83,$G32,'прогноз на 20.05.12'!AV$7:AV$83)+SUMIF('прогноз на 20.05.12'!$C$7:$C$83,$I32,'прогноз на 20.05.12'!AV$7:AV$83)+SUMIF('прогноз на 20.05.12'!$C$7:$C$83,$K32,'прогноз на 20.05.12'!AV$7:AV$83)</f>
        <v>6340.4000000000005</v>
      </c>
      <c r="AW32" s="41">
        <f>SUMIF('прогноз на 20.05.12'!$C$7:$C$83,$C32,'прогноз на 20.05.12'!AW$7:AW$83)+SUMIF('прогноз на 20.05.12'!$C$7:$C$83,$E32,'прогноз на 20.05.12'!AW$7:AW$83)+SUMIF('прогноз на 20.05.12'!$C$7:$C$83,$G32,'прогноз на 20.05.12'!AW$7:AW$83)+SUMIF('прогноз на 20.05.12'!$C$7:$C$83,$I32,'прогноз на 20.05.12'!AW$7:AW$83)+SUMIF('прогноз на 20.05.12'!$C$7:$C$83,$K32,'прогноз на 20.05.12'!AW$7:AW$83)</f>
        <v>730.80000000000007</v>
      </c>
      <c r="AX32" s="41">
        <f>SUMIF('прогноз на 20.05.12'!$C$7:$C$83,$C32,'прогноз на 20.05.12'!AX$7:AX$83)+SUMIF('прогноз на 20.05.12'!$C$7:$C$83,$E32,'прогноз на 20.05.12'!AX$7:AX$83)+SUMIF('прогноз на 20.05.12'!$C$7:$C$83,$G32,'прогноз на 20.05.12'!AX$7:AX$83)+SUMIF('прогноз на 20.05.12'!$C$7:$C$83,$I32,'прогноз на 20.05.12'!AX$7:AX$83)+SUMIF('прогноз на 20.05.12'!$C$7:$C$83,$K32,'прогноз на 20.05.12'!AX$7:AX$83)</f>
        <v>18456.2</v>
      </c>
      <c r="AY32" s="41">
        <f>SUMIF('прогноз на 20.05.12'!$C$7:$C$83,$C32,'прогноз на 20.05.12'!AY$7:AY$83)+SUMIF('прогноз на 20.05.12'!$C$7:$C$83,$E32,'прогноз на 20.05.12'!AY$7:AY$83)+SUMIF('прогноз на 20.05.12'!$C$7:$C$83,$G32,'прогноз на 20.05.12'!AY$7:AY$83)+SUMIF('прогноз на 20.05.12'!$C$7:$C$83,$I32,'прогноз на 20.05.12'!AY$7:AY$83)+SUMIF('прогноз на 20.05.12'!$C$7:$C$83,$K32,'прогноз на 20.05.12'!AY$7:AY$83)</f>
        <v>190998</v>
      </c>
      <c r="AZ32" s="41">
        <f>SUMIF('прогноз на 20.05.12'!$C$7:$C$83,$C32,'прогноз на 20.05.12'!AZ$7:AZ$83)+SUMIF('прогноз на 20.05.12'!$C$7:$C$83,$E32,'прогноз на 20.05.12'!AZ$7:AZ$83)+SUMIF('прогноз на 20.05.12'!$C$7:$C$83,$G32,'прогноз на 20.05.12'!AZ$7:AZ$83)+SUMIF('прогноз на 20.05.12'!$C$7:$C$83,$I32,'прогноз на 20.05.12'!AZ$7:AZ$83)+SUMIF('прогноз на 20.05.12'!$C$7:$C$83,$K32,'прогноз на 20.05.12'!AZ$7:AZ$83)</f>
        <v>155848</v>
      </c>
      <c r="BA32" s="41">
        <f>SUMIF('прогноз на 20.05.12'!$C$7:$C$83,$C32,'прогноз на 20.05.12'!BA$7:BA$83)+SUMIF('прогноз на 20.05.12'!$C$7:$C$83,$E32,'прогноз на 20.05.12'!BA$7:BA$83)+SUMIF('прогноз на 20.05.12'!$C$7:$C$83,$G32,'прогноз на 20.05.12'!BA$7:BA$83)+SUMIF('прогноз на 20.05.12'!$C$7:$C$83,$I32,'прогноз на 20.05.12'!BA$7:BA$83)+SUMIF('прогноз на 20.05.12'!$C$7:$C$83,$K32,'прогноз на 20.05.12'!BA$7:BA$83)</f>
        <v>15245.6</v>
      </c>
      <c r="BB32" s="41">
        <f>SUMIF('прогноз на 20.05.12'!$C$7:$C$83,$C32,'прогноз на 20.05.12'!BB$7:BB$83)+SUMIF('прогноз на 20.05.12'!$C$7:$C$83,$E32,'прогноз на 20.05.12'!BB$7:BB$83)+SUMIF('прогноз на 20.05.12'!$C$7:$C$83,$G32,'прогноз на 20.05.12'!BB$7:BB$83)+SUMIF('прогноз на 20.05.12'!$C$7:$C$83,$I32,'прогноз на 20.05.12'!BB$7:BB$83)+SUMIF('прогноз на 20.05.12'!$C$7:$C$83,$K32,'прогноз на 20.05.12'!BB$7:BB$83)</f>
        <v>362091.6</v>
      </c>
      <c r="BC32" s="41">
        <f>SUMIF('прогноз на 20.05.12'!$C$7:$C$83,$C32,'прогноз на 20.05.12'!BC$7:BC$83)+SUMIF('прогноз на 20.05.12'!$C$7:$C$83,$E32,'прогноз на 20.05.12'!BC$7:BC$83)+SUMIF('прогноз на 20.05.12'!$C$7:$C$83,$G32,'прогноз на 20.05.12'!BC$7:BC$83)+SUMIF('прогноз на 20.05.12'!$C$7:$C$83,$I32,'прогноз на 20.05.12'!BC$7:BC$83)+SUMIF('прогноз на 20.05.12'!$C$7:$C$83,$K32,'прогноз на 20.05.12'!BC$7:BC$83)</f>
        <v>1135497</v>
      </c>
      <c r="BD32" s="41">
        <f>SUMIF('прогноз на 20.05.12'!$C$7:$C$83,$C32,'прогноз на 20.05.12'!BD$7:BD$83)+SUMIF('прогноз на 20.05.12'!$C$7:$C$83,$E32,'прогноз на 20.05.12'!BD$7:BD$83)+SUMIF('прогноз на 20.05.12'!$C$7:$C$83,$G32,'прогноз на 20.05.12'!BD$7:BD$83)+SUMIF('прогноз на 20.05.12'!$C$7:$C$83,$I32,'прогноз на 20.05.12'!BD$7:BD$83)+SUMIF('прогноз на 20.05.12'!$C$7:$C$83,$K32,'прогноз на 20.05.12'!BD$7:BD$83)</f>
        <v>1146748</v>
      </c>
      <c r="BE32" s="41">
        <f>SUMIF('прогноз на 20.05.12'!$C$7:$C$83,$C32,'прогноз на 20.05.12'!BE$7:BE$83)+SUMIF('прогноз на 20.05.12'!$C$7:$C$83,$E32,'прогноз на 20.05.12'!BE$7:BE$83)+SUMIF('прогноз на 20.05.12'!$C$7:$C$83,$G32,'прогноз на 20.05.12'!BE$7:BE$83)+SUMIF('прогноз на 20.05.12'!$C$7:$C$83,$I32,'прогноз на 20.05.12'!BE$7:BE$83)+SUMIF('прогноз на 20.05.12'!$C$7:$C$83,$K32,'прогноз на 20.05.12'!BE$7:BE$83)</f>
        <v>-11251</v>
      </c>
      <c r="BF32" s="41">
        <f>SUMIF('прогноз на 20.05.12'!$C$7:$C$83,$C32,'прогноз на 20.05.12'!BF$7:BF$83)+SUMIF('прогноз на 20.05.12'!$C$7:$C$83,$E32,'прогноз на 20.05.12'!BF$7:BF$83)+SUMIF('прогноз на 20.05.12'!$C$7:$C$83,$G32,'прогноз на 20.05.12'!BF$7:BF$83)+SUMIF('прогноз на 20.05.12'!$C$7:$C$83,$I32,'прогноз на 20.05.12'!BF$7:BF$83)+SUMIF('прогноз на 20.05.12'!$C$7:$C$83,$K32,'прогноз на 20.05.12'!BF$7:BF$83)</f>
        <v>773405.4</v>
      </c>
      <c r="BG32" s="41">
        <f>SUMIF('прогноз на 20.05.12'!$C$7:$C$83,$C32,'прогноз на 20.05.12'!BG$7:BG$83)+SUMIF('прогноз на 20.05.12'!$C$7:$C$83,$E32,'прогноз на 20.05.12'!BG$7:BG$83)+SUMIF('прогноз на 20.05.12'!$C$7:$C$83,$G32,'прогноз на 20.05.12'!BG$7:BG$83)+SUMIF('прогноз на 20.05.12'!$C$7:$C$83,$I32,'прогноз на 20.05.12'!BG$7:BG$83)+SUMIF('прогноз на 20.05.12'!$C$7:$C$83,$K32,'прогноз на 20.05.12'!BG$7:BG$83)</f>
        <v>784656.4</v>
      </c>
      <c r="BH32" s="41">
        <f>SUMIF('прогноз на 20.05.12'!$C$7:$C$83,$C32,'прогноз на 20.05.12'!BH$7:BH$83)+SUMIF('прогноз на 20.05.12'!$C$7:$C$83,$E32,'прогноз на 20.05.12'!BH$7:BH$83)+SUMIF('прогноз на 20.05.12'!$C$7:$C$83,$G32,'прогноз на 20.05.12'!BH$7:BH$83)+SUMIF('прогноз на 20.05.12'!$C$7:$C$83,$I32,'прогноз на 20.05.12'!BH$7:BH$83)+SUMIF('прогноз на 20.05.12'!$C$7:$C$83,$K32,'прогноз на 20.05.12'!BH$7:BH$83)</f>
        <v>-11251</v>
      </c>
      <c r="BI32" s="90">
        <f t="shared" si="10"/>
        <v>4.8888888888888893</v>
      </c>
      <c r="BJ32" s="90">
        <f t="shared" si="11"/>
        <v>18.399999999999999</v>
      </c>
      <c r="BK32" s="90">
        <f t="shared" si="12"/>
        <v>15</v>
      </c>
      <c r="BL32" s="90">
        <f t="shared" si="13"/>
        <v>10.375</v>
      </c>
    </row>
    <row r="33" spans="1:64" s="59" customFormat="1" ht="18.75">
      <c r="A33" s="38">
        <v>27</v>
      </c>
      <c r="B33" s="39" t="s">
        <v>70</v>
      </c>
      <c r="C33" s="40" t="s">
        <v>236</v>
      </c>
      <c r="D33" s="56" t="s">
        <v>25</v>
      </c>
      <c r="E33" s="56" t="s">
        <v>213</v>
      </c>
      <c r="F33" s="56" t="s">
        <v>30</v>
      </c>
      <c r="G33" s="56" t="s">
        <v>226</v>
      </c>
      <c r="H33" s="56" t="s">
        <v>32</v>
      </c>
      <c r="I33" s="56" t="s">
        <v>231</v>
      </c>
      <c r="J33" s="58"/>
      <c r="K33" s="58"/>
      <c r="L33" s="41">
        <f>SUMIF('прогноз на 20.05.12'!$C$7:$C$83,$C33,'прогноз на 20.05.12'!D$7:D$83)+SUMIF('прогноз на 20.05.12'!$C$7:$C$83,$E33,'прогноз на 20.05.12'!D$7:D$83)+SUMIF('прогноз на 20.05.12'!$C$7:$C$83,$G33,'прогноз на 20.05.12'!D$7:D$83)+SUMIF('прогноз на 20.05.12'!$C$7:$C$83,$I33,'прогноз на 20.05.12'!D$7:D$83)+SUMIF('прогноз на 20.05.12'!$C$7:$C$83,$K33,'прогноз на 20.05.12'!D$7:D$83)</f>
        <v>51</v>
      </c>
      <c r="M33" s="41">
        <f>SUMIF('прогноз на 20.05.12'!$C$7:$C$83,$C33,'прогноз на 20.05.12'!E$7:E$83)+SUMIF('прогноз на 20.05.12'!$C$7:$C$83,$E33,'прогноз на 20.05.12'!E$7:E$83)+SUMIF('прогноз на 20.05.12'!$C$7:$C$83,$G33,'прогноз на 20.05.12'!E$7:E$83)+SUMIF('прогноз на 20.05.12'!$C$7:$C$83,$I33,'прогноз на 20.05.12'!E$7:E$83)+SUMIF('прогноз на 20.05.12'!$C$7:$C$83,$K33,'прогноз на 20.05.12'!E$7:E$83)</f>
        <v>92</v>
      </c>
      <c r="N33" s="41">
        <f>SUMIF('прогноз на 20.05.12'!$C$7:$C$83,$C33,'прогноз на 20.05.12'!F$7:F$83)+SUMIF('прогноз на 20.05.12'!$C$7:$C$83,$E33,'прогноз на 20.05.12'!F$7:F$83)+SUMIF('прогноз на 20.05.12'!$C$7:$C$83,$G33,'прогноз на 20.05.12'!F$7:F$83)+SUMIF('прогноз на 20.05.12'!$C$7:$C$83,$I33,'прогноз на 20.05.12'!F$7:F$83)+SUMIF('прогноз на 20.05.12'!$C$7:$C$83,$K33,'прогноз на 20.05.12'!F$7:F$83)</f>
        <v>31</v>
      </c>
      <c r="O33" s="44">
        <f t="shared" si="6"/>
        <v>174</v>
      </c>
      <c r="P33" s="41">
        <f>SUMIF('прогноз на 20.05.12'!$C$7:$C$83,$C33,'прогноз на 20.05.12'!H$7:H$83)+SUMIF('прогноз на 20.05.12'!$C$7:$C$83,$E33,'прогноз на 20.05.12'!H$7:H$83)+SUMIF('прогноз на 20.05.12'!$C$7:$C$83,$G33,'прогноз на 20.05.12'!H$7:H$83)+SUMIF('прогноз на 20.05.12'!$C$7:$C$83,$I33,'прогноз на 20.05.12'!H$7:H$83)+SUMIF('прогноз на 20.05.12'!$C$7:$C$83,$K33,'прогноз на 20.05.12'!H$7:H$83)</f>
        <v>10</v>
      </c>
      <c r="Q33" s="41">
        <f>SUMIF('прогноз на 20.05.12'!$C$7:$C$83,$C33,'прогноз на 20.05.12'!I$7:I$83)+SUMIF('прогноз на 20.05.12'!$C$7:$C$83,$E33,'прогноз на 20.05.12'!I$7:I$83)+SUMIF('прогноз на 20.05.12'!$C$7:$C$83,$G33,'прогноз на 20.05.12'!I$7:I$83)+SUMIF('прогноз на 20.05.12'!$C$7:$C$83,$I33,'прогноз на 20.05.12'!I$7:I$83)+SUMIF('прогноз на 20.05.12'!$C$7:$C$83,$K33,'прогноз на 20.05.12'!I$7:I$83)</f>
        <v>6</v>
      </c>
      <c r="R33" s="41">
        <f>SUMIF('прогноз на 20.05.12'!$C$7:$C$83,$C33,'прогноз на 20.05.12'!J$7:J$83)+SUMIF('прогноз на 20.05.12'!$C$7:$C$83,$E33,'прогноз на 20.05.12'!J$7:J$83)+SUMIF('прогноз на 20.05.12'!$C$7:$C$83,$G33,'прогноз на 20.05.12'!J$7:J$83)+SUMIF('прогноз на 20.05.12'!$C$7:$C$83,$I33,'прогноз на 20.05.12'!J$7:J$83)+SUMIF('прогноз на 20.05.12'!$C$7:$C$83,$K33,'прогноз на 20.05.12'!J$7:J$83)</f>
        <v>2</v>
      </c>
      <c r="S33" s="45">
        <f t="shared" si="7"/>
        <v>18</v>
      </c>
      <c r="T33" s="41">
        <f>SUMIF('прогноз на 20.05.12'!$C$7:$C$83,$C33,'прогноз на 20.05.12'!L$7:L$83)+SUMIF('прогноз на 20.05.12'!$C$7:$C$83,$E33,'прогноз на 20.05.12'!L$7:L$83)+SUMIF('прогноз на 20.05.12'!$C$7:$C$83,$G33,'прогноз на 20.05.12'!L$7:L$83)+SUMIF('прогноз на 20.05.12'!$C$7:$C$83,$I33,'прогноз на 20.05.12'!L$7:L$83)+SUMIF('прогноз на 20.05.12'!$C$7:$C$83,$K33,'прогноз на 20.05.12'!L$7:L$83)</f>
        <v>0</v>
      </c>
      <c r="U33" s="41">
        <f>SUMIF('прогноз на 20.05.12'!$C$7:$C$83,$C33,'прогноз на 20.05.12'!M$7:M$83)+SUMIF('прогноз на 20.05.12'!$C$7:$C$83,$E33,'прогноз на 20.05.12'!M$7:M$83)+SUMIF('прогноз на 20.05.12'!$C$7:$C$83,$G33,'прогноз на 20.05.12'!M$7:M$83)+SUMIF('прогноз на 20.05.12'!$C$7:$C$83,$I33,'прогноз на 20.05.12'!M$7:M$83)+SUMIF('прогноз на 20.05.12'!$C$7:$C$83,$K33,'прогноз на 20.05.12'!M$7:M$83)</f>
        <v>0</v>
      </c>
      <c r="V33" s="41">
        <f>SUMIF('прогноз на 20.05.12'!$C$7:$C$83,$C33,'прогноз на 20.05.12'!N$7:N$83)+SUMIF('прогноз на 20.05.12'!$C$7:$C$83,$E33,'прогноз на 20.05.12'!N$7:N$83)+SUMIF('прогноз на 20.05.12'!$C$7:$C$83,$G33,'прогноз на 20.05.12'!N$7:N$83)+SUMIF('прогноз на 20.05.12'!$C$7:$C$83,$I33,'прогноз на 20.05.12'!N$7:N$83)+SUMIF('прогноз на 20.05.12'!$C$7:$C$83,$K33,'прогноз на 20.05.12'!N$7:N$83)</f>
        <v>0</v>
      </c>
      <c r="W33" s="45">
        <f t="shared" si="8"/>
        <v>0</v>
      </c>
      <c r="X33" s="41">
        <f>SUMIF('прогноз на 20.05.12'!$C$7:$C$83,$C33,'прогноз на 20.05.12'!P$7:P$83)+SUMIF('прогноз на 20.05.12'!$C$7:$C$83,$E33,'прогноз на 20.05.12'!P$7:P$83)+SUMIF('прогноз на 20.05.12'!$C$7:$C$83,$G33,'прогноз на 20.05.12'!P$7:P$83)+SUMIF('прогноз на 20.05.12'!$C$7:$C$83,$I33,'прогноз на 20.05.12'!P$7:P$83)+SUMIF('прогноз на 20.05.12'!$C$7:$C$83,$K33,'прогноз на 20.05.12'!P$7:P$83)</f>
        <v>1</v>
      </c>
      <c r="Y33" s="41">
        <f>SUMIF('прогноз на 20.05.12'!$C$7:$C$83,$C33,'прогноз на 20.05.12'!Q$7:Q$83)+SUMIF('прогноз на 20.05.12'!$C$7:$C$83,$E33,'прогноз на 20.05.12'!Q$7:Q$83)+SUMIF('прогноз на 20.05.12'!$C$7:$C$83,$G33,'прогноз на 20.05.12'!Q$7:Q$83)+SUMIF('прогноз на 20.05.12'!$C$7:$C$83,$I33,'прогноз на 20.05.12'!Q$7:Q$83)+SUMIF('прогноз на 20.05.12'!$C$7:$C$83,$K33,'прогноз на 20.05.12'!Q$7:Q$83)</f>
        <v>27</v>
      </c>
      <c r="Z33" s="45"/>
      <c r="AA33" s="41">
        <f>SUMIF('прогноз на 20.05.12'!$C$7:$C$83,$C33,'прогноз на 20.05.12'!S$7:S$83)+SUMIF('прогноз на 20.05.12'!$C$7:$C$83,$E33,'прогноз на 20.05.12'!S$7:S$83)+SUMIF('прогноз на 20.05.12'!$C$7:$C$83,$G33,'прогноз на 20.05.12'!S$7:S$83)+SUMIF('прогноз на 20.05.12'!$C$7:$C$83,$I33,'прогноз на 20.05.12'!S$7:S$83)+SUMIF('прогноз на 20.05.12'!$C$7:$C$83,$K33,'прогноз на 20.05.12'!S$7:S$83)</f>
        <v>80</v>
      </c>
      <c r="AB33" s="41">
        <f>SUMIF('прогноз на 20.05.12'!$C$7:$C$83,$C33,'прогноз на 20.05.12'!T$7:T$83)+SUMIF('прогноз на 20.05.12'!$C$7:$C$83,$E33,'прогноз на 20.05.12'!T$7:T$83)+SUMIF('прогноз на 20.05.12'!$C$7:$C$83,$G33,'прогноз на 20.05.12'!T$7:T$83)+SUMIF('прогноз на 20.05.12'!$C$7:$C$83,$I33,'прогноз на 20.05.12'!T$7:T$83)+SUMIF('прогноз на 20.05.12'!$C$7:$C$83,$K33,'прогноз на 20.05.12'!T$7:T$83)</f>
        <v>84</v>
      </c>
      <c r="AC33" s="41">
        <f>SUMIF('прогноз на 20.05.12'!$C$7:$C$83,$C33,'прогноз на 20.05.12'!U$7:U$83)+SUMIF('прогноз на 20.05.12'!$C$7:$C$83,$E33,'прогноз на 20.05.12'!U$7:U$83)+SUMIF('прогноз на 20.05.12'!$C$7:$C$83,$G33,'прогноз на 20.05.12'!U$7:U$83)+SUMIF('прогноз на 20.05.12'!$C$7:$C$83,$I33,'прогноз на 20.05.12'!U$7:U$83)+SUMIF('прогноз на 20.05.12'!$C$7:$C$83,$K33,'прогноз на 20.05.12'!U$7:U$83)</f>
        <v>28</v>
      </c>
      <c r="AD33" s="41">
        <f>SUMIF('прогноз на 20.05.12'!$C$7:$C$83,$C33,'прогноз на 20.05.12'!V$7:V$83)+SUMIF('прогноз на 20.05.12'!$C$7:$C$83,$E33,'прогноз на 20.05.12'!V$7:V$83)+SUMIF('прогноз на 20.05.12'!$C$7:$C$83,$G33,'прогноз на 20.05.12'!V$7:V$83)+SUMIF('прогноз на 20.05.12'!$C$7:$C$83,$I33,'прогноз на 20.05.12'!V$7:V$83)+SUMIF('прогноз на 20.05.12'!$C$7:$C$83,$K33,'прогноз на 20.05.12'!V$7:V$83)</f>
        <v>192</v>
      </c>
      <c r="AE33" s="41">
        <f>SUMIF('прогноз на 20.05.12'!$C$7:$C$83,$C33,'прогноз на 20.05.12'!W$7:W$83)+SUMIF('прогноз на 20.05.12'!$C$7:$C$83,$E33,'прогноз на 20.05.12'!W$7:W$83)+SUMIF('прогноз на 20.05.12'!$C$7:$C$83,$G33,'прогноз на 20.05.12'!W$7:W$83)+SUMIF('прогноз на 20.05.12'!$C$7:$C$83,$I33,'прогноз на 20.05.12'!W$7:W$83)+SUMIF('прогноз на 20.05.12'!$C$7:$C$83,$K33,'прогноз на 20.05.12'!W$7:W$83)</f>
        <v>29</v>
      </c>
      <c r="AF33" s="41">
        <f>SUMIF('прогноз на 20.05.12'!$C$7:$C$83,$C33,'прогноз на 20.05.12'!X$7:X$83)+SUMIF('прогноз на 20.05.12'!$C$7:$C$83,$E33,'прогноз на 20.05.12'!X$7:X$83)+SUMIF('прогноз на 20.05.12'!$C$7:$C$83,$G33,'прогноз на 20.05.12'!X$7:X$83)+SUMIF('прогноз на 20.05.12'!$C$7:$C$83,$I33,'прогноз на 20.05.12'!X$7:X$83)+SUMIF('прогноз на 20.05.12'!$C$7:$C$83,$K33,'прогноз на 20.05.12'!X$7:X$83)</f>
        <v>-8</v>
      </c>
      <c r="AG33" s="41">
        <f>SUMIF('прогноз на 20.05.12'!$C$7:$C$83,$C33,'прогноз на 20.05.12'!Y$7:Y$83)+SUMIF('прогноз на 20.05.12'!$C$7:$C$83,$E33,'прогноз на 20.05.12'!Y$7:Y$83)+SUMIF('прогноз на 20.05.12'!$C$7:$C$83,$G33,'прогноз на 20.05.12'!Y$7:Y$83)+SUMIF('прогноз на 20.05.12'!$C$7:$C$83,$I33,'прогноз на 20.05.12'!Y$7:Y$83)+SUMIF('прогноз на 20.05.12'!$C$7:$C$83,$K33,'прогноз на 20.05.12'!Y$7:Y$83)</f>
        <v>-3</v>
      </c>
      <c r="AH33" s="41">
        <f>SUMIF('прогноз на 20.05.12'!$C$7:$C$83,$C33,'прогноз на 20.05.12'!Z$7:Z$83)+SUMIF('прогноз на 20.05.12'!$C$7:$C$83,$E33,'прогноз на 20.05.12'!Z$7:Z$83)+SUMIF('прогноз на 20.05.12'!$C$7:$C$83,$G33,'прогноз на 20.05.12'!Z$7:Z$83)+SUMIF('прогноз на 20.05.12'!$C$7:$C$83,$I33,'прогноз на 20.05.12'!Z$7:Z$83)+SUMIF('прогноз на 20.05.12'!$C$7:$C$83,$K33,'прогноз на 20.05.12'!Z$7:Z$83)</f>
        <v>18</v>
      </c>
      <c r="AI33" s="41">
        <f>SUMIF('прогноз на 20.05.12'!$C$7:$C$83,$C33,'прогноз на 20.05.12'!AA$7:AA$83)+SUMIF('прогноз на 20.05.12'!$C$7:$C$83,$E33,'прогноз на 20.05.12'!AA$7:AA$83)+SUMIF('прогноз на 20.05.12'!$C$7:$C$83,$G33,'прогноз на 20.05.12'!AA$7:AA$83)+SUMIF('прогноз на 20.05.12'!$C$7:$C$83,$I33,'прогноз на 20.05.12'!AA$7:AA$83)+SUMIF('прогноз на 20.05.12'!$C$7:$C$83,$K33,'прогноз на 20.05.12'!AA$7:AA$83)</f>
        <v>21.75</v>
      </c>
      <c r="AJ33" s="41">
        <f>SUMIF('прогноз на 20.05.12'!$C$7:$C$83,$C33,'прогноз на 20.05.12'!AB$7:AB$83)+SUMIF('прогноз на 20.05.12'!$C$7:$C$83,$E33,'прогноз на 20.05.12'!AB$7:AB$83)+SUMIF('прогноз на 20.05.12'!$C$7:$C$83,$G33,'прогноз на 20.05.12'!AB$7:AB$83)+SUMIF('прогноз на 20.05.12'!$C$7:$C$83,$I33,'прогноз на 20.05.12'!AB$7:AB$83)+SUMIF('прогноз на 20.05.12'!$C$7:$C$83,$K33,'прогноз на 20.05.12'!AB$7:AB$83)</f>
        <v>1.6</v>
      </c>
      <c r="AK33" s="41">
        <f>SUMIF('прогноз на 20.05.12'!$C$7:$C$83,$C33,'прогноз на 20.05.12'!AC$7:AC$83)+SUMIF('прогноз на 20.05.12'!$C$7:$C$83,$E33,'прогноз на 20.05.12'!AC$7:AC$83)+SUMIF('прогноз на 20.05.12'!$C$7:$C$83,$G33,'прогноз на 20.05.12'!AC$7:AC$83)+SUMIF('прогноз на 20.05.12'!$C$7:$C$83,$I33,'прогноз на 20.05.12'!AC$7:AC$83)+SUMIF('прогноз на 20.05.12'!$C$7:$C$83,$K33,'прогноз на 20.05.12'!AC$7:AC$83)</f>
        <v>0.60000000000000009</v>
      </c>
      <c r="AL33" s="41">
        <f>SUMIF('прогноз на 20.05.12'!$C$7:$C$83,$C33,'прогноз на 20.05.12'!AD$7:AD$83)+SUMIF('прогноз на 20.05.12'!$C$7:$C$83,$E33,'прогноз на 20.05.12'!AD$7:AD$83)+SUMIF('прогноз на 20.05.12'!$C$7:$C$83,$G33,'прогноз на 20.05.12'!AD$7:AD$83)+SUMIF('прогноз на 20.05.12'!$C$7:$C$83,$I33,'прогноз на 20.05.12'!AD$7:AD$83)+SUMIF('прогноз на 20.05.12'!$C$7:$C$83,$K33,'прогноз на 20.05.12'!AD$7:AD$83)</f>
        <v>23.950000000000003</v>
      </c>
      <c r="AM33" s="41">
        <f>SUMIF('прогноз на 20.05.12'!$C$7:$C$83,$C33,'прогноз на 20.05.12'!AE$7:AE$83)+SUMIF('прогноз на 20.05.12'!$C$7:$C$83,$E33,'прогноз на 20.05.12'!AE$7:AE$83)+SUMIF('прогноз на 20.05.12'!$C$7:$C$83,$G33,'прогноз на 20.05.12'!AE$7:AE$83)+SUMIF('прогноз на 20.05.12'!$C$7:$C$83,$I33,'прогноз на 20.05.12'!AE$7:AE$83)+SUMIF('прогноз на 20.05.12'!$C$7:$C$83,$K33,'прогноз на 20.05.12'!AE$7:AE$83)</f>
        <v>72.75</v>
      </c>
      <c r="AN33" s="41">
        <f>SUMIF('прогноз на 20.05.12'!$C$7:$C$83,$C33,'прогноз на 20.05.12'!AF$7:AF$83)+SUMIF('прогноз на 20.05.12'!$C$7:$C$83,$E33,'прогноз на 20.05.12'!AF$7:AF$83)+SUMIF('прогноз на 20.05.12'!$C$7:$C$83,$G33,'прогноз на 20.05.12'!AF$7:AF$83)+SUMIF('прогноз на 20.05.12'!$C$7:$C$83,$I33,'прогноз на 20.05.12'!AF$7:AF$83)+SUMIF('прогноз на 20.05.12'!$C$7:$C$83,$K33,'прогноз на 20.05.12'!AF$7:AF$83)</f>
        <v>93.6</v>
      </c>
      <c r="AO33" s="41">
        <f>SUMIF('прогноз на 20.05.12'!$C$7:$C$83,$C33,'прогноз на 20.05.12'!AG$7:AG$83)+SUMIF('прогноз на 20.05.12'!$C$7:$C$83,$E33,'прогноз на 20.05.12'!AG$7:AG$83)+SUMIF('прогноз на 20.05.12'!$C$7:$C$83,$G33,'прогноз на 20.05.12'!AG$7:AG$83)+SUMIF('прогноз на 20.05.12'!$C$7:$C$83,$I33,'прогноз на 20.05.12'!AG$7:AG$83)+SUMIF('прогноз на 20.05.12'!$C$7:$C$83,$K33,'прогноз на 20.05.12'!AG$7:AG$83)</f>
        <v>31.6</v>
      </c>
      <c r="AP33" s="41">
        <f>SUMIF('прогноз на 20.05.12'!$C$7:$C$83,$C33,'прогноз на 20.05.12'!AH$7:AH$83)+SUMIF('прогноз на 20.05.12'!$C$7:$C$83,$E33,'прогноз на 20.05.12'!AH$7:AH$83)+SUMIF('прогноз на 20.05.12'!$C$7:$C$83,$G33,'прогноз на 20.05.12'!AH$7:AH$83)+SUMIF('прогноз на 20.05.12'!$C$7:$C$83,$I33,'прогноз на 20.05.12'!AH$7:AH$83)+SUMIF('прогноз на 20.05.12'!$C$7:$C$83,$K33,'прогноз на 20.05.12'!AH$7:AH$83)</f>
        <v>197.95</v>
      </c>
      <c r="AQ33" s="41">
        <f>SUMIF('прогноз на 20.05.12'!$C$7:$C$83,$C33,'прогноз на 20.05.12'!AM$7:AM$83)+SUMIF('прогноз на 20.05.12'!$C$7:$C$83,$E33,'прогноз на 20.05.12'!AM$7:AM$83)+SUMIF('прогноз на 20.05.12'!$C$7:$C$83,$G33,'прогноз на 20.05.12'!AM$7:AM$83)+SUMIF('прогноз на 20.05.12'!$C$7:$C$83,$I33,'прогноз на 20.05.12'!AM$7:AM$83)+SUMIF('прогноз на 20.05.12'!$C$7:$C$83,$K33,'прогноз на 20.05.12'!AM$7:AM$83)</f>
        <v>434064.75</v>
      </c>
      <c r="AR33" s="41">
        <f>SUMIF('прогноз на 20.05.12'!$C$7:$C$83,$C33,'прогноз на 20.05.12'!AN$7:AN$83)+SUMIF('прогноз на 20.05.12'!$C$7:$C$83,$E33,'прогноз на 20.05.12'!AN$7:AN$83)+SUMIF('прогноз на 20.05.12'!$C$7:$C$83,$G33,'прогноз на 20.05.12'!AN$7:AN$83)+SUMIF('прогноз на 20.05.12'!$C$7:$C$83,$I33,'прогноз на 20.05.12'!AN$7:AN$83)+SUMIF('прогноз на 20.05.12'!$C$7:$C$83,$K33,'прогноз на 20.05.12'!AN$7:AN$83)</f>
        <v>54366.400000000001</v>
      </c>
      <c r="AS33" s="41">
        <f>SUMIF('прогноз на 20.05.12'!$C$7:$C$83,$C33,'прогноз на 20.05.12'!AO$7:AO$83)+SUMIF('прогноз на 20.05.12'!$C$7:$C$83,$E33,'прогноз на 20.05.12'!AO$7:AO$83)+SUMIF('прогноз на 20.05.12'!$C$7:$C$83,$G33,'прогноз на 20.05.12'!AO$7:AO$83)+SUMIF('прогноз на 20.05.12'!$C$7:$C$83,$I33,'прогноз на 20.05.12'!AO$7:AO$83)+SUMIF('прогноз на 20.05.12'!$C$7:$C$83,$K33,'прогноз на 20.05.12'!AO$7:AO$83)</f>
        <v>21772.200000000004</v>
      </c>
      <c r="AT33" s="41">
        <f>SUMIF('прогноз на 20.05.12'!$C$7:$C$83,$C33,'прогноз на 20.05.12'!AP$7:AP$83)+SUMIF('прогноз на 20.05.12'!$C$7:$C$83,$E33,'прогноз на 20.05.12'!AP$7:AP$83)+SUMIF('прогноз на 20.05.12'!$C$7:$C$83,$G33,'прогноз на 20.05.12'!AP$7:AP$83)+SUMIF('прогноз на 20.05.12'!$C$7:$C$83,$I33,'прогноз на 20.05.12'!AP$7:AP$83)+SUMIF('прогноз на 20.05.12'!$C$7:$C$83,$K33,'прогноз на 20.05.12'!AP$7:AP$83)</f>
        <v>510203.35000000003</v>
      </c>
      <c r="AU33" s="41">
        <f>SUMIF('прогноз на 20.05.12'!$C$7:$C$83,$C33,'прогноз на 20.05.12'!AU$7:AU$83)+SUMIF('прогноз на 20.05.12'!$C$7:$C$83,$E33,'прогноз на 20.05.12'!AU$7:AU$83)+SUMIF('прогноз на 20.05.12'!$C$7:$C$83,$G33,'прогноз на 20.05.12'!AU$7:AU$83)+SUMIF('прогноз на 20.05.12'!$C$7:$C$83,$I33,'прогноз на 20.05.12'!AU$7:AU$83)+SUMIF('прогноз на 20.05.12'!$C$7:$C$83,$K33,'прогноз на 20.05.12'!AU$7:AU$83)</f>
        <v>27513.75</v>
      </c>
      <c r="AV33" s="41">
        <f>SUMIF('прогноз на 20.05.12'!$C$7:$C$83,$C33,'прогноз на 20.05.12'!AV$7:AV$83)+SUMIF('прогноз на 20.05.12'!$C$7:$C$83,$E33,'прогноз на 20.05.12'!AV$7:AV$83)+SUMIF('прогноз на 20.05.12'!$C$7:$C$83,$G33,'прогноз на 20.05.12'!AV$7:AV$83)+SUMIF('прогноз на 20.05.12'!$C$7:$C$83,$I33,'прогноз на 20.05.12'!AV$7:AV$83)+SUMIF('прогноз на 20.05.12'!$C$7:$C$83,$K33,'прогноз на 20.05.12'!AV$7:AV$83)</f>
        <v>2305.6</v>
      </c>
      <c r="AW33" s="41">
        <f>SUMIF('прогноз на 20.05.12'!$C$7:$C$83,$C33,'прогноз на 20.05.12'!AW$7:AW$83)+SUMIF('прогноз на 20.05.12'!$C$7:$C$83,$E33,'прогноз на 20.05.12'!AW$7:AW$83)+SUMIF('прогноз на 20.05.12'!$C$7:$C$83,$G33,'прогноз на 20.05.12'!AW$7:AW$83)+SUMIF('прогноз на 20.05.12'!$C$7:$C$83,$I33,'прогноз на 20.05.12'!AW$7:AW$83)+SUMIF('прогноз на 20.05.12'!$C$7:$C$83,$K33,'прогноз на 20.05.12'!AW$7:AW$83)</f>
        <v>1096.2000000000003</v>
      </c>
      <c r="AX33" s="41">
        <f>SUMIF('прогноз на 20.05.12'!$C$7:$C$83,$C33,'прогноз на 20.05.12'!AX$7:AX$83)+SUMIF('прогноз на 20.05.12'!$C$7:$C$83,$E33,'прогноз на 20.05.12'!AX$7:AX$83)+SUMIF('прогноз на 20.05.12'!$C$7:$C$83,$G33,'прогноз на 20.05.12'!AX$7:AX$83)+SUMIF('прогноз на 20.05.12'!$C$7:$C$83,$I33,'прогноз на 20.05.12'!AX$7:AX$83)+SUMIF('прогноз на 20.05.12'!$C$7:$C$83,$K33,'прогноз на 20.05.12'!AX$7:AX$83)</f>
        <v>30915.55</v>
      </c>
      <c r="AY33" s="41">
        <f>SUMIF('прогноз на 20.05.12'!$C$7:$C$83,$C33,'прогноз на 20.05.12'!AY$7:AY$83)+SUMIF('прогноз на 20.05.12'!$C$7:$C$83,$E33,'прогноз на 20.05.12'!AY$7:AY$83)+SUMIF('прогноз на 20.05.12'!$C$7:$C$83,$G33,'прогноз на 20.05.12'!AY$7:AY$83)+SUMIF('прогноз на 20.05.12'!$C$7:$C$83,$I33,'прогноз на 20.05.12'!AY$7:AY$83)+SUMIF('прогноз на 20.05.12'!$C$7:$C$83,$K33,'прогноз на 20.05.12'!AY$7:AY$83)</f>
        <v>461578.5</v>
      </c>
      <c r="AZ33" s="41">
        <f>SUMIF('прогноз на 20.05.12'!$C$7:$C$83,$C33,'прогноз на 20.05.12'!AZ$7:AZ$83)+SUMIF('прогноз на 20.05.12'!$C$7:$C$83,$E33,'прогноз на 20.05.12'!AZ$7:AZ$83)+SUMIF('прогноз на 20.05.12'!$C$7:$C$83,$G33,'прогноз на 20.05.12'!AZ$7:AZ$83)+SUMIF('прогноз на 20.05.12'!$C$7:$C$83,$I33,'прогноз на 20.05.12'!AZ$7:AZ$83)+SUMIF('прогноз на 20.05.12'!$C$7:$C$83,$K33,'прогноз на 20.05.12'!AZ$7:AZ$83)</f>
        <v>56672</v>
      </c>
      <c r="BA33" s="41">
        <f>SUMIF('прогноз на 20.05.12'!$C$7:$C$83,$C33,'прогноз на 20.05.12'!BA$7:BA$83)+SUMIF('прогноз на 20.05.12'!$C$7:$C$83,$E33,'прогноз на 20.05.12'!BA$7:BA$83)+SUMIF('прогноз на 20.05.12'!$C$7:$C$83,$G33,'прогноз на 20.05.12'!BA$7:BA$83)+SUMIF('прогноз на 20.05.12'!$C$7:$C$83,$I33,'прогноз на 20.05.12'!BA$7:BA$83)+SUMIF('прогноз на 20.05.12'!$C$7:$C$83,$K33,'прогноз на 20.05.12'!BA$7:BA$83)</f>
        <v>22868.400000000005</v>
      </c>
      <c r="BB33" s="41">
        <f>SUMIF('прогноз на 20.05.12'!$C$7:$C$83,$C33,'прогноз на 20.05.12'!BB$7:BB$83)+SUMIF('прогноз на 20.05.12'!$C$7:$C$83,$E33,'прогноз на 20.05.12'!BB$7:BB$83)+SUMIF('прогноз на 20.05.12'!$C$7:$C$83,$G33,'прогноз на 20.05.12'!BB$7:BB$83)+SUMIF('прогноз на 20.05.12'!$C$7:$C$83,$I33,'прогноз на 20.05.12'!BB$7:BB$83)+SUMIF('прогноз на 20.05.12'!$C$7:$C$83,$K33,'прогноз на 20.05.12'!BB$7:BB$83)</f>
        <v>541118.9</v>
      </c>
      <c r="BC33" s="41">
        <f>SUMIF('прогноз на 20.05.12'!$C$7:$C$83,$C33,'прогноз на 20.05.12'!BC$7:BC$83)+SUMIF('прогноз на 20.05.12'!$C$7:$C$83,$E33,'прогноз на 20.05.12'!BC$7:BC$83)+SUMIF('прогноз на 20.05.12'!$C$7:$C$83,$G33,'прогноз на 20.05.12'!BC$7:BC$83)+SUMIF('прогноз на 20.05.12'!$C$7:$C$83,$I33,'прогноз на 20.05.12'!BC$7:BC$83)+SUMIF('прогноз на 20.05.12'!$C$7:$C$83,$K33,'прогноз на 20.05.12'!BC$7:BC$83)</f>
        <v>811674</v>
      </c>
      <c r="BD33" s="41">
        <f>SUMIF('прогноз на 20.05.12'!$C$7:$C$83,$C33,'прогноз на 20.05.12'!BD$7:BD$83)+SUMIF('прогноз на 20.05.12'!$C$7:$C$83,$E33,'прогноз на 20.05.12'!BD$7:BD$83)+SUMIF('прогноз на 20.05.12'!$C$7:$C$83,$G33,'прогноз на 20.05.12'!BD$7:BD$83)+SUMIF('прогноз на 20.05.12'!$C$7:$C$83,$I33,'прогноз на 20.05.12'!BD$7:BD$83)+SUMIF('прогноз на 20.05.12'!$C$7:$C$83,$K33,'прогноз на 20.05.12'!BD$7:BD$83)</f>
        <v>811674</v>
      </c>
      <c r="BE33" s="41">
        <f>SUMIF('прогноз на 20.05.12'!$C$7:$C$83,$C33,'прогноз на 20.05.12'!BE$7:BE$83)+SUMIF('прогноз на 20.05.12'!$C$7:$C$83,$E33,'прогноз на 20.05.12'!BE$7:BE$83)+SUMIF('прогноз на 20.05.12'!$C$7:$C$83,$G33,'прогноз на 20.05.12'!BE$7:BE$83)+SUMIF('прогноз на 20.05.12'!$C$7:$C$83,$I33,'прогноз на 20.05.12'!BE$7:BE$83)+SUMIF('прогноз на 20.05.12'!$C$7:$C$83,$K33,'прогноз на 20.05.12'!BE$7:BE$83)</f>
        <v>0</v>
      </c>
      <c r="BF33" s="41">
        <f>SUMIF('прогноз на 20.05.12'!$C$7:$C$83,$C33,'прогноз на 20.05.12'!BF$7:BF$83)+SUMIF('прогноз на 20.05.12'!$C$7:$C$83,$E33,'прогноз на 20.05.12'!BF$7:BF$83)+SUMIF('прогноз на 20.05.12'!$C$7:$C$83,$G33,'прогноз на 20.05.12'!BF$7:BF$83)+SUMIF('прогноз на 20.05.12'!$C$7:$C$83,$I33,'прогноз на 20.05.12'!BF$7:BF$83)+SUMIF('прогноз на 20.05.12'!$C$7:$C$83,$K33,'прогноз на 20.05.12'!BF$7:BF$83)</f>
        <v>270555.09999999998</v>
      </c>
      <c r="BG33" s="41">
        <f>SUMIF('прогноз на 20.05.12'!$C$7:$C$83,$C33,'прогноз на 20.05.12'!BG$7:BG$83)+SUMIF('прогноз на 20.05.12'!$C$7:$C$83,$E33,'прогноз на 20.05.12'!BG$7:BG$83)+SUMIF('прогноз на 20.05.12'!$C$7:$C$83,$G33,'прогноз на 20.05.12'!BG$7:BG$83)+SUMIF('прогноз на 20.05.12'!$C$7:$C$83,$I33,'прогноз на 20.05.12'!BG$7:BG$83)+SUMIF('прогноз на 20.05.12'!$C$7:$C$83,$K33,'прогноз на 20.05.12'!BG$7:BG$83)</f>
        <v>270555.09999999998</v>
      </c>
      <c r="BH33" s="41">
        <f>SUMIF('прогноз на 20.05.12'!$C$7:$C$83,$C33,'прогноз на 20.05.12'!BH$7:BH$83)+SUMIF('прогноз на 20.05.12'!$C$7:$C$83,$E33,'прогноз на 20.05.12'!BH$7:BH$83)+SUMIF('прогноз на 20.05.12'!$C$7:$C$83,$G33,'прогноз на 20.05.12'!BH$7:BH$83)+SUMIF('прогноз на 20.05.12'!$C$7:$C$83,$I33,'прогноз на 20.05.12'!BH$7:BH$83)+SUMIF('прогноз на 20.05.12'!$C$7:$C$83,$K33,'прогноз на 20.05.12'!BH$7:BH$83)</f>
        <v>0</v>
      </c>
      <c r="BI33" s="90">
        <f t="shared" si="10"/>
        <v>5.0999999999999996</v>
      </c>
      <c r="BJ33" s="90">
        <f t="shared" si="11"/>
        <v>15.333333333333334</v>
      </c>
      <c r="BK33" s="90">
        <f t="shared" si="12"/>
        <v>15.5</v>
      </c>
      <c r="BL33" s="90">
        <f t="shared" si="13"/>
        <v>9.6666666666666661</v>
      </c>
    </row>
    <row r="34" spans="1:64" s="59" customFormat="1" ht="18.75">
      <c r="A34" s="38">
        <v>28</v>
      </c>
      <c r="B34" s="39" t="s">
        <v>71</v>
      </c>
      <c r="C34" s="40" t="s">
        <v>237</v>
      </c>
      <c r="D34" s="56" t="s">
        <v>12</v>
      </c>
      <c r="E34" s="56" t="s">
        <v>192</v>
      </c>
      <c r="F34" s="56" t="s">
        <v>27</v>
      </c>
      <c r="G34" s="56" t="s">
        <v>219</v>
      </c>
      <c r="H34" s="58"/>
      <c r="I34" s="58"/>
      <c r="J34" s="58"/>
      <c r="K34" s="58"/>
      <c r="L34" s="41">
        <f>SUMIF('прогноз на 20.05.12'!$C$7:$C$83,$C34,'прогноз на 20.05.12'!D$7:D$83)+SUMIF('прогноз на 20.05.12'!$C$7:$C$83,$E34,'прогноз на 20.05.12'!D$7:D$83)+SUMIF('прогноз на 20.05.12'!$C$7:$C$83,$G34,'прогноз на 20.05.12'!D$7:D$83)+SUMIF('прогноз на 20.05.12'!$C$7:$C$83,$I34,'прогноз на 20.05.12'!D$7:D$83)+SUMIF('прогноз на 20.05.12'!$C$7:$C$83,$K34,'прогноз на 20.05.12'!D$7:D$83)</f>
        <v>39</v>
      </c>
      <c r="M34" s="41">
        <f>SUMIF('прогноз на 20.05.12'!$C$7:$C$83,$C34,'прогноз на 20.05.12'!E$7:E$83)+SUMIF('прогноз на 20.05.12'!$C$7:$C$83,$E34,'прогноз на 20.05.12'!E$7:E$83)+SUMIF('прогноз на 20.05.12'!$C$7:$C$83,$G34,'прогноз на 20.05.12'!E$7:E$83)+SUMIF('прогноз на 20.05.12'!$C$7:$C$83,$I34,'прогноз на 20.05.12'!E$7:E$83)+SUMIF('прогноз на 20.05.12'!$C$7:$C$83,$K34,'прогноз на 20.05.12'!E$7:E$83)</f>
        <v>75</v>
      </c>
      <c r="N34" s="41">
        <f>SUMIF('прогноз на 20.05.12'!$C$7:$C$83,$C34,'прогноз на 20.05.12'!F$7:F$83)+SUMIF('прогноз на 20.05.12'!$C$7:$C$83,$E34,'прогноз на 20.05.12'!F$7:F$83)+SUMIF('прогноз на 20.05.12'!$C$7:$C$83,$G34,'прогноз на 20.05.12'!F$7:F$83)+SUMIF('прогноз на 20.05.12'!$C$7:$C$83,$I34,'прогноз на 20.05.12'!F$7:F$83)+SUMIF('прогноз на 20.05.12'!$C$7:$C$83,$K34,'прогноз на 20.05.12'!F$7:F$83)</f>
        <v>33</v>
      </c>
      <c r="O34" s="44">
        <f t="shared" si="6"/>
        <v>147</v>
      </c>
      <c r="P34" s="41">
        <f>SUMIF('прогноз на 20.05.12'!$C$7:$C$83,$C34,'прогноз на 20.05.12'!H$7:H$83)+SUMIF('прогноз на 20.05.12'!$C$7:$C$83,$E34,'прогноз на 20.05.12'!H$7:H$83)+SUMIF('прогноз на 20.05.12'!$C$7:$C$83,$G34,'прогноз на 20.05.12'!H$7:H$83)+SUMIF('прогноз на 20.05.12'!$C$7:$C$83,$I34,'прогноз на 20.05.12'!H$7:H$83)+SUMIF('прогноз на 20.05.12'!$C$7:$C$83,$K34,'прогноз на 20.05.12'!H$7:H$83)</f>
        <v>7</v>
      </c>
      <c r="Q34" s="41">
        <f>SUMIF('прогноз на 20.05.12'!$C$7:$C$83,$C34,'прогноз на 20.05.12'!I$7:I$83)+SUMIF('прогноз на 20.05.12'!$C$7:$C$83,$E34,'прогноз на 20.05.12'!I$7:I$83)+SUMIF('прогноз на 20.05.12'!$C$7:$C$83,$G34,'прогноз на 20.05.12'!I$7:I$83)+SUMIF('прогноз на 20.05.12'!$C$7:$C$83,$I34,'прогноз на 20.05.12'!I$7:I$83)+SUMIF('прогноз на 20.05.12'!$C$7:$C$83,$K34,'прогноз на 20.05.12'!I$7:I$83)</f>
        <v>5</v>
      </c>
      <c r="R34" s="41">
        <f>SUMIF('прогноз на 20.05.12'!$C$7:$C$83,$C34,'прогноз на 20.05.12'!J$7:J$83)+SUMIF('прогноз на 20.05.12'!$C$7:$C$83,$E34,'прогноз на 20.05.12'!J$7:J$83)+SUMIF('прогноз на 20.05.12'!$C$7:$C$83,$G34,'прогноз на 20.05.12'!J$7:J$83)+SUMIF('прогноз на 20.05.12'!$C$7:$C$83,$I34,'прогноз на 20.05.12'!J$7:J$83)+SUMIF('прогноз на 20.05.12'!$C$7:$C$83,$K34,'прогноз на 20.05.12'!J$7:J$83)</f>
        <v>2</v>
      </c>
      <c r="S34" s="45">
        <f t="shared" si="7"/>
        <v>14</v>
      </c>
      <c r="T34" s="41">
        <f>SUMIF('прогноз на 20.05.12'!$C$7:$C$83,$C34,'прогноз на 20.05.12'!L$7:L$83)+SUMIF('прогноз на 20.05.12'!$C$7:$C$83,$E34,'прогноз на 20.05.12'!L$7:L$83)+SUMIF('прогноз на 20.05.12'!$C$7:$C$83,$G34,'прогноз на 20.05.12'!L$7:L$83)+SUMIF('прогноз на 20.05.12'!$C$7:$C$83,$I34,'прогноз на 20.05.12'!L$7:L$83)+SUMIF('прогноз на 20.05.12'!$C$7:$C$83,$K34,'прогноз на 20.05.12'!L$7:L$83)</f>
        <v>0</v>
      </c>
      <c r="U34" s="41">
        <f>SUMIF('прогноз на 20.05.12'!$C$7:$C$83,$C34,'прогноз на 20.05.12'!M$7:M$83)+SUMIF('прогноз на 20.05.12'!$C$7:$C$83,$E34,'прогноз на 20.05.12'!M$7:M$83)+SUMIF('прогноз на 20.05.12'!$C$7:$C$83,$G34,'прогноз на 20.05.12'!M$7:M$83)+SUMIF('прогноз на 20.05.12'!$C$7:$C$83,$I34,'прогноз на 20.05.12'!M$7:M$83)+SUMIF('прогноз на 20.05.12'!$C$7:$C$83,$K34,'прогноз на 20.05.12'!M$7:M$83)</f>
        <v>0</v>
      </c>
      <c r="V34" s="41">
        <f>SUMIF('прогноз на 20.05.12'!$C$7:$C$83,$C34,'прогноз на 20.05.12'!N$7:N$83)+SUMIF('прогноз на 20.05.12'!$C$7:$C$83,$E34,'прогноз на 20.05.12'!N$7:N$83)+SUMIF('прогноз на 20.05.12'!$C$7:$C$83,$G34,'прогноз на 20.05.12'!N$7:N$83)+SUMIF('прогноз на 20.05.12'!$C$7:$C$83,$I34,'прогноз на 20.05.12'!N$7:N$83)+SUMIF('прогноз на 20.05.12'!$C$7:$C$83,$K34,'прогноз на 20.05.12'!N$7:N$83)</f>
        <v>1</v>
      </c>
      <c r="W34" s="45">
        <f t="shared" si="8"/>
        <v>1</v>
      </c>
      <c r="X34" s="41">
        <f>SUMIF('прогноз на 20.05.12'!$C$7:$C$83,$C34,'прогноз на 20.05.12'!P$7:P$83)+SUMIF('прогноз на 20.05.12'!$C$7:$C$83,$E34,'прогноз на 20.05.12'!P$7:P$83)+SUMIF('прогноз на 20.05.12'!$C$7:$C$83,$G34,'прогноз на 20.05.12'!P$7:P$83)+SUMIF('прогноз на 20.05.12'!$C$7:$C$83,$I34,'прогноз на 20.05.12'!P$7:P$83)+SUMIF('прогноз на 20.05.12'!$C$7:$C$83,$K34,'прогноз на 20.05.12'!P$7:P$83)</f>
        <v>1</v>
      </c>
      <c r="Y34" s="41">
        <f>SUMIF('прогноз на 20.05.12'!$C$7:$C$83,$C34,'прогноз на 20.05.12'!Q$7:Q$83)+SUMIF('прогноз на 20.05.12'!$C$7:$C$83,$E34,'прогноз на 20.05.12'!Q$7:Q$83)+SUMIF('прогноз на 20.05.12'!$C$7:$C$83,$G34,'прогноз на 20.05.12'!Q$7:Q$83)+SUMIF('прогноз на 20.05.12'!$C$7:$C$83,$I34,'прогноз на 20.05.12'!Q$7:Q$83)+SUMIF('прогноз на 20.05.12'!$C$7:$C$83,$K34,'прогноз на 20.05.12'!Q$7:Q$83)</f>
        <v>25</v>
      </c>
      <c r="Z34" s="45"/>
      <c r="AA34" s="41">
        <f>SUMIF('прогноз на 20.05.12'!$C$7:$C$83,$C34,'прогноз на 20.05.12'!S$7:S$83)+SUMIF('прогноз на 20.05.12'!$C$7:$C$83,$E34,'прогноз на 20.05.12'!S$7:S$83)+SUMIF('прогноз на 20.05.12'!$C$7:$C$83,$G34,'прогноз на 20.05.12'!S$7:S$83)+SUMIF('прогноз на 20.05.12'!$C$7:$C$83,$I34,'прогноз на 20.05.12'!S$7:S$83)+SUMIF('прогноз на 20.05.12'!$C$7:$C$83,$K34,'прогноз на 20.05.12'!S$7:S$83)</f>
        <v>55</v>
      </c>
      <c r="AB34" s="41">
        <f>SUMIF('прогноз на 20.05.12'!$C$7:$C$83,$C34,'прогноз на 20.05.12'!T$7:T$83)+SUMIF('прогноз на 20.05.12'!$C$7:$C$83,$E34,'прогноз на 20.05.12'!T$7:T$83)+SUMIF('прогноз на 20.05.12'!$C$7:$C$83,$G34,'прогноз на 20.05.12'!T$7:T$83)+SUMIF('прогноз на 20.05.12'!$C$7:$C$83,$I34,'прогноз на 20.05.12'!T$7:T$83)+SUMIF('прогноз на 20.05.12'!$C$7:$C$83,$K34,'прогноз на 20.05.12'!T$7:T$83)</f>
        <v>70</v>
      </c>
      <c r="AC34" s="41">
        <f>SUMIF('прогноз на 20.05.12'!$C$7:$C$83,$C34,'прогноз на 20.05.12'!U$7:U$83)+SUMIF('прогноз на 20.05.12'!$C$7:$C$83,$E34,'прогноз на 20.05.12'!U$7:U$83)+SUMIF('прогноз на 20.05.12'!$C$7:$C$83,$G34,'прогноз на 20.05.12'!U$7:U$83)+SUMIF('прогноз на 20.05.12'!$C$7:$C$83,$I34,'прогноз на 20.05.12'!U$7:U$83)+SUMIF('прогноз на 20.05.12'!$C$7:$C$83,$K34,'прогноз на 20.05.12'!U$7:U$83)</f>
        <v>28</v>
      </c>
      <c r="AD34" s="41">
        <f>SUMIF('прогноз на 20.05.12'!$C$7:$C$83,$C34,'прогноз на 20.05.12'!V$7:V$83)+SUMIF('прогноз на 20.05.12'!$C$7:$C$83,$E34,'прогноз на 20.05.12'!V$7:V$83)+SUMIF('прогноз на 20.05.12'!$C$7:$C$83,$G34,'прогноз на 20.05.12'!V$7:V$83)+SUMIF('прогноз на 20.05.12'!$C$7:$C$83,$I34,'прогноз на 20.05.12'!V$7:V$83)+SUMIF('прогноз на 20.05.12'!$C$7:$C$83,$K34,'прогноз на 20.05.12'!V$7:V$83)</f>
        <v>153</v>
      </c>
      <c r="AE34" s="41">
        <f>SUMIF('прогноз на 20.05.12'!$C$7:$C$83,$C34,'прогноз на 20.05.12'!W$7:W$83)+SUMIF('прогноз на 20.05.12'!$C$7:$C$83,$E34,'прогноз на 20.05.12'!W$7:W$83)+SUMIF('прогноз на 20.05.12'!$C$7:$C$83,$G34,'прогноз на 20.05.12'!W$7:W$83)+SUMIF('прогноз на 20.05.12'!$C$7:$C$83,$I34,'прогноз на 20.05.12'!W$7:W$83)+SUMIF('прогноз на 20.05.12'!$C$7:$C$83,$K34,'прогноз на 20.05.12'!W$7:W$83)</f>
        <v>16</v>
      </c>
      <c r="AF34" s="41">
        <f>SUMIF('прогноз на 20.05.12'!$C$7:$C$83,$C34,'прогноз на 20.05.12'!X$7:X$83)+SUMIF('прогноз на 20.05.12'!$C$7:$C$83,$E34,'прогноз на 20.05.12'!X$7:X$83)+SUMIF('прогноз на 20.05.12'!$C$7:$C$83,$G34,'прогноз на 20.05.12'!X$7:X$83)+SUMIF('прогноз на 20.05.12'!$C$7:$C$83,$I34,'прогноз на 20.05.12'!X$7:X$83)+SUMIF('прогноз на 20.05.12'!$C$7:$C$83,$K34,'прогноз на 20.05.12'!X$7:X$83)</f>
        <v>-5</v>
      </c>
      <c r="AG34" s="41">
        <f>SUMIF('прогноз на 20.05.12'!$C$7:$C$83,$C34,'прогноз на 20.05.12'!Y$7:Y$83)+SUMIF('прогноз на 20.05.12'!$C$7:$C$83,$E34,'прогноз на 20.05.12'!Y$7:Y$83)+SUMIF('прогноз на 20.05.12'!$C$7:$C$83,$G34,'прогноз на 20.05.12'!Y$7:Y$83)+SUMIF('прогноз на 20.05.12'!$C$7:$C$83,$I34,'прогноз на 20.05.12'!Y$7:Y$83)+SUMIF('прогноз на 20.05.12'!$C$7:$C$83,$K34,'прогноз на 20.05.12'!Y$7:Y$83)</f>
        <v>-5</v>
      </c>
      <c r="AH34" s="41">
        <f>SUMIF('прогноз на 20.05.12'!$C$7:$C$83,$C34,'прогноз на 20.05.12'!Z$7:Z$83)+SUMIF('прогноз на 20.05.12'!$C$7:$C$83,$E34,'прогноз на 20.05.12'!Z$7:Z$83)+SUMIF('прогноз на 20.05.12'!$C$7:$C$83,$G34,'прогноз на 20.05.12'!Z$7:Z$83)+SUMIF('прогноз на 20.05.12'!$C$7:$C$83,$I34,'прогноз на 20.05.12'!Z$7:Z$83)+SUMIF('прогноз на 20.05.12'!$C$7:$C$83,$K34,'прогноз на 20.05.12'!Z$7:Z$83)</f>
        <v>6</v>
      </c>
      <c r="AI34" s="41">
        <f>SUMIF('прогноз на 20.05.12'!$C$7:$C$83,$C34,'прогноз на 20.05.12'!AA$7:AA$83)+SUMIF('прогноз на 20.05.12'!$C$7:$C$83,$E34,'прогноз на 20.05.12'!AA$7:AA$83)+SUMIF('прогноз на 20.05.12'!$C$7:$C$83,$G34,'прогноз на 20.05.12'!AA$7:AA$83)+SUMIF('прогноз на 20.05.12'!$C$7:$C$83,$I34,'прогноз на 20.05.12'!AA$7:AA$83)+SUMIF('прогноз на 20.05.12'!$C$7:$C$83,$K34,'прогноз на 20.05.12'!AA$7:AA$83)</f>
        <v>12</v>
      </c>
      <c r="AJ34" s="41">
        <f>SUMIF('прогноз на 20.05.12'!$C$7:$C$83,$C34,'прогноз на 20.05.12'!AB$7:AB$83)+SUMIF('прогноз на 20.05.12'!$C$7:$C$83,$E34,'прогноз на 20.05.12'!AB$7:AB$83)+SUMIF('прогноз на 20.05.12'!$C$7:$C$83,$G34,'прогноз на 20.05.12'!AB$7:AB$83)+SUMIF('прогноз на 20.05.12'!$C$7:$C$83,$I34,'прогноз на 20.05.12'!AB$7:AB$83)+SUMIF('прогноз на 20.05.12'!$C$7:$C$83,$K34,'прогноз на 20.05.12'!AB$7:AB$83)</f>
        <v>1</v>
      </c>
      <c r="AK34" s="41">
        <f>SUMIF('прогноз на 20.05.12'!$C$7:$C$83,$C34,'прогноз на 20.05.12'!AC$7:AC$83)+SUMIF('прогноз на 20.05.12'!$C$7:$C$83,$E34,'прогноз на 20.05.12'!AC$7:AC$83)+SUMIF('прогноз на 20.05.12'!$C$7:$C$83,$G34,'прогноз на 20.05.12'!AC$7:AC$83)+SUMIF('прогноз на 20.05.12'!$C$7:$C$83,$I34,'прогноз на 20.05.12'!AC$7:AC$83)+SUMIF('прогноз на 20.05.12'!$C$7:$C$83,$K34,'прогноз на 20.05.12'!AC$7:AC$83)</f>
        <v>1</v>
      </c>
      <c r="AL34" s="41">
        <f>SUMIF('прогноз на 20.05.12'!$C$7:$C$83,$C34,'прогноз на 20.05.12'!AD$7:AD$83)+SUMIF('прогноз на 20.05.12'!$C$7:$C$83,$E34,'прогноз на 20.05.12'!AD$7:AD$83)+SUMIF('прогноз на 20.05.12'!$C$7:$C$83,$G34,'прогноз на 20.05.12'!AD$7:AD$83)+SUMIF('прогноз на 20.05.12'!$C$7:$C$83,$I34,'прогноз на 20.05.12'!AD$7:AD$83)+SUMIF('прогноз на 20.05.12'!$C$7:$C$83,$K34,'прогноз на 20.05.12'!AD$7:AD$83)</f>
        <v>14</v>
      </c>
      <c r="AM34" s="41">
        <f>SUMIF('прогноз на 20.05.12'!$C$7:$C$83,$C34,'прогноз на 20.05.12'!AE$7:AE$83)+SUMIF('прогноз на 20.05.12'!$C$7:$C$83,$E34,'прогноз на 20.05.12'!AE$7:AE$83)+SUMIF('прогноз на 20.05.12'!$C$7:$C$83,$G34,'прогноз на 20.05.12'!AE$7:AE$83)+SUMIF('прогноз на 20.05.12'!$C$7:$C$83,$I34,'прогноз на 20.05.12'!AE$7:AE$83)+SUMIF('прогноз на 20.05.12'!$C$7:$C$83,$K34,'прогноз на 20.05.12'!AE$7:AE$83)</f>
        <v>51</v>
      </c>
      <c r="AN34" s="41">
        <f>SUMIF('прогноз на 20.05.12'!$C$7:$C$83,$C34,'прогноз на 20.05.12'!AF$7:AF$83)+SUMIF('прогноз на 20.05.12'!$C$7:$C$83,$E34,'прогноз на 20.05.12'!AF$7:AF$83)+SUMIF('прогноз на 20.05.12'!$C$7:$C$83,$G34,'прогноз на 20.05.12'!AF$7:AF$83)+SUMIF('прогноз на 20.05.12'!$C$7:$C$83,$I34,'прогноз на 20.05.12'!AF$7:AF$83)+SUMIF('прогноз на 20.05.12'!$C$7:$C$83,$K34,'прогноз на 20.05.12'!AF$7:AF$83)</f>
        <v>76</v>
      </c>
      <c r="AO34" s="41">
        <f>SUMIF('прогноз на 20.05.12'!$C$7:$C$83,$C34,'прогноз на 20.05.12'!AG$7:AG$83)+SUMIF('прогноз на 20.05.12'!$C$7:$C$83,$E34,'прогноз на 20.05.12'!AG$7:AG$83)+SUMIF('прогноз на 20.05.12'!$C$7:$C$83,$G34,'прогноз на 20.05.12'!AG$7:AG$83)+SUMIF('прогноз на 20.05.12'!$C$7:$C$83,$I34,'прогноз на 20.05.12'!AG$7:AG$83)+SUMIF('прогноз на 20.05.12'!$C$7:$C$83,$K34,'прогноз на 20.05.12'!AG$7:AG$83)</f>
        <v>34</v>
      </c>
      <c r="AP34" s="41">
        <f>SUMIF('прогноз на 20.05.12'!$C$7:$C$83,$C34,'прогноз на 20.05.12'!AH$7:AH$83)+SUMIF('прогноз на 20.05.12'!$C$7:$C$83,$E34,'прогноз на 20.05.12'!AH$7:AH$83)+SUMIF('прогноз на 20.05.12'!$C$7:$C$83,$G34,'прогноз на 20.05.12'!AH$7:AH$83)+SUMIF('прогноз на 20.05.12'!$C$7:$C$83,$I34,'прогноз на 20.05.12'!AH$7:AH$83)+SUMIF('прогноз на 20.05.12'!$C$7:$C$83,$K34,'прогноз на 20.05.12'!AH$7:AH$83)</f>
        <v>161</v>
      </c>
      <c r="AQ34" s="41">
        <f>SUMIF('прогноз на 20.05.12'!$C$7:$C$83,$C34,'прогноз на 20.05.12'!AM$7:AM$83)+SUMIF('прогноз на 20.05.12'!$C$7:$C$83,$E34,'прогноз на 20.05.12'!AM$7:AM$83)+SUMIF('прогноз на 20.05.12'!$C$7:$C$83,$G34,'прогноз на 20.05.12'!AM$7:AM$83)+SUMIF('прогноз на 20.05.12'!$C$7:$C$83,$I34,'прогноз на 20.05.12'!AM$7:AM$83)+SUMIF('прогноз на 20.05.12'!$C$7:$C$83,$K34,'прогноз на 20.05.12'!AM$7:AM$83)</f>
        <v>239484</v>
      </c>
      <c r="AR34" s="41">
        <f>SUMIF('прогноз на 20.05.12'!$C$7:$C$83,$C34,'прогноз на 20.05.12'!AN$7:AN$83)+SUMIF('прогноз на 20.05.12'!$C$7:$C$83,$E34,'прогноз на 20.05.12'!AN$7:AN$83)+SUMIF('прогноз на 20.05.12'!$C$7:$C$83,$G34,'прогноз на 20.05.12'!AN$7:AN$83)+SUMIF('прогноз на 20.05.12'!$C$7:$C$83,$I34,'прогноз на 20.05.12'!AN$7:AN$83)+SUMIF('прогноз на 20.05.12'!$C$7:$C$83,$K34,'прогноз на 20.05.12'!AN$7:AN$83)</f>
        <v>33979</v>
      </c>
      <c r="AS34" s="41">
        <f>SUMIF('прогноз на 20.05.12'!$C$7:$C$83,$C34,'прогноз на 20.05.12'!AO$7:AO$83)+SUMIF('прогноз на 20.05.12'!$C$7:$C$83,$E34,'прогноз на 20.05.12'!AO$7:AO$83)+SUMIF('прогноз на 20.05.12'!$C$7:$C$83,$G34,'прогноз на 20.05.12'!AO$7:AO$83)+SUMIF('прогноз на 20.05.12'!$C$7:$C$83,$I34,'прогноз на 20.05.12'!AO$7:AO$83)+SUMIF('прогноз на 20.05.12'!$C$7:$C$83,$K34,'прогноз на 20.05.12'!AO$7:AO$83)</f>
        <v>36287</v>
      </c>
      <c r="AT34" s="41">
        <f>SUMIF('прогноз на 20.05.12'!$C$7:$C$83,$C34,'прогноз на 20.05.12'!AP$7:AP$83)+SUMIF('прогноз на 20.05.12'!$C$7:$C$83,$E34,'прогноз на 20.05.12'!AP$7:AP$83)+SUMIF('прогноз на 20.05.12'!$C$7:$C$83,$G34,'прогноз на 20.05.12'!AP$7:AP$83)+SUMIF('прогноз на 20.05.12'!$C$7:$C$83,$I34,'прогноз на 20.05.12'!AP$7:AP$83)+SUMIF('прогноз на 20.05.12'!$C$7:$C$83,$K34,'прогноз на 20.05.12'!AP$7:AP$83)</f>
        <v>309750</v>
      </c>
      <c r="AU34" s="41">
        <f>SUMIF('прогноз на 20.05.12'!$C$7:$C$83,$C34,'прогноз на 20.05.12'!AU$7:AU$83)+SUMIF('прогноз на 20.05.12'!$C$7:$C$83,$E34,'прогноз на 20.05.12'!AU$7:AU$83)+SUMIF('прогноз на 20.05.12'!$C$7:$C$83,$G34,'прогноз на 20.05.12'!AU$7:AU$83)+SUMIF('прогноз на 20.05.12'!$C$7:$C$83,$I34,'прогноз на 20.05.12'!AU$7:AU$83)+SUMIF('прогноз на 20.05.12'!$C$7:$C$83,$K34,'прогноз на 20.05.12'!AU$7:AU$83)</f>
        <v>15180</v>
      </c>
      <c r="AV34" s="41">
        <f>SUMIF('прогноз на 20.05.12'!$C$7:$C$83,$C34,'прогноз на 20.05.12'!AV$7:AV$83)+SUMIF('прогноз на 20.05.12'!$C$7:$C$83,$E34,'прогноз на 20.05.12'!AV$7:AV$83)+SUMIF('прогноз на 20.05.12'!$C$7:$C$83,$G34,'прогноз на 20.05.12'!AV$7:AV$83)+SUMIF('прогноз на 20.05.12'!$C$7:$C$83,$I34,'прогноз на 20.05.12'!AV$7:AV$83)+SUMIF('прогноз на 20.05.12'!$C$7:$C$83,$K34,'прогноз на 20.05.12'!AV$7:AV$83)</f>
        <v>1441</v>
      </c>
      <c r="AW34" s="41">
        <f>SUMIF('прогноз на 20.05.12'!$C$7:$C$83,$C34,'прогноз на 20.05.12'!AW$7:AW$83)+SUMIF('прогноз на 20.05.12'!$C$7:$C$83,$E34,'прогноз на 20.05.12'!AW$7:AW$83)+SUMIF('прогноз на 20.05.12'!$C$7:$C$83,$G34,'прогноз на 20.05.12'!AW$7:AW$83)+SUMIF('прогноз на 20.05.12'!$C$7:$C$83,$I34,'прогноз на 20.05.12'!AW$7:AW$83)+SUMIF('прогноз на 20.05.12'!$C$7:$C$83,$K34,'прогноз на 20.05.12'!AW$7:AW$83)</f>
        <v>1827</v>
      </c>
      <c r="AX34" s="41">
        <f>SUMIF('прогноз на 20.05.12'!$C$7:$C$83,$C34,'прогноз на 20.05.12'!AX$7:AX$83)+SUMIF('прогноз на 20.05.12'!$C$7:$C$83,$E34,'прогноз на 20.05.12'!AX$7:AX$83)+SUMIF('прогноз на 20.05.12'!$C$7:$C$83,$G34,'прогноз на 20.05.12'!AX$7:AX$83)+SUMIF('прогноз на 20.05.12'!$C$7:$C$83,$I34,'прогноз на 20.05.12'!AX$7:AX$83)+SUMIF('прогноз на 20.05.12'!$C$7:$C$83,$K34,'прогноз на 20.05.12'!AX$7:AX$83)</f>
        <v>18448</v>
      </c>
      <c r="AY34" s="41">
        <f>SUMIF('прогноз на 20.05.12'!$C$7:$C$83,$C34,'прогноз на 20.05.12'!AY$7:AY$83)+SUMIF('прогноз на 20.05.12'!$C$7:$C$83,$E34,'прогноз на 20.05.12'!AY$7:AY$83)+SUMIF('прогноз на 20.05.12'!$C$7:$C$83,$G34,'прогноз на 20.05.12'!AY$7:AY$83)+SUMIF('прогноз на 20.05.12'!$C$7:$C$83,$I34,'прогноз на 20.05.12'!AY$7:AY$83)+SUMIF('прогноз на 20.05.12'!$C$7:$C$83,$K34,'прогноз на 20.05.12'!AY$7:AY$83)</f>
        <v>254664</v>
      </c>
      <c r="AZ34" s="41">
        <f>SUMIF('прогноз на 20.05.12'!$C$7:$C$83,$C34,'прогноз на 20.05.12'!AZ$7:AZ$83)+SUMIF('прогноз на 20.05.12'!$C$7:$C$83,$E34,'прогноз на 20.05.12'!AZ$7:AZ$83)+SUMIF('прогноз на 20.05.12'!$C$7:$C$83,$G34,'прогноз на 20.05.12'!AZ$7:AZ$83)+SUMIF('прогноз на 20.05.12'!$C$7:$C$83,$I34,'прогноз на 20.05.12'!AZ$7:AZ$83)+SUMIF('прогноз на 20.05.12'!$C$7:$C$83,$K34,'прогноз на 20.05.12'!AZ$7:AZ$83)</f>
        <v>35420</v>
      </c>
      <c r="BA34" s="41">
        <f>SUMIF('прогноз на 20.05.12'!$C$7:$C$83,$C34,'прогноз на 20.05.12'!BA$7:BA$83)+SUMIF('прогноз на 20.05.12'!$C$7:$C$83,$E34,'прогноз на 20.05.12'!BA$7:BA$83)+SUMIF('прогноз на 20.05.12'!$C$7:$C$83,$G34,'прогноз на 20.05.12'!BA$7:BA$83)+SUMIF('прогноз на 20.05.12'!$C$7:$C$83,$I34,'прогноз на 20.05.12'!BA$7:BA$83)+SUMIF('прогноз на 20.05.12'!$C$7:$C$83,$K34,'прогноз на 20.05.12'!BA$7:BA$83)</f>
        <v>38114</v>
      </c>
      <c r="BB34" s="41">
        <f>SUMIF('прогноз на 20.05.12'!$C$7:$C$83,$C34,'прогноз на 20.05.12'!BB$7:BB$83)+SUMIF('прогноз на 20.05.12'!$C$7:$C$83,$E34,'прогноз на 20.05.12'!BB$7:BB$83)+SUMIF('прогноз на 20.05.12'!$C$7:$C$83,$G34,'прогноз на 20.05.12'!BB$7:BB$83)+SUMIF('прогноз на 20.05.12'!$C$7:$C$83,$I34,'прогноз на 20.05.12'!BB$7:BB$83)+SUMIF('прогноз на 20.05.12'!$C$7:$C$83,$K34,'прогноз на 20.05.12'!BB$7:BB$83)</f>
        <v>328198</v>
      </c>
      <c r="BC34" s="41">
        <f>SUMIF('прогноз на 20.05.12'!$C$7:$C$83,$C34,'прогноз на 20.05.12'!BC$7:BC$83)+SUMIF('прогноз на 20.05.12'!$C$7:$C$83,$E34,'прогноз на 20.05.12'!BC$7:BC$83)+SUMIF('прогноз на 20.05.12'!$C$7:$C$83,$G34,'прогноз на 20.05.12'!BC$7:BC$83)+SUMIF('прогноз на 20.05.12'!$C$7:$C$83,$I34,'прогноз на 20.05.12'!BC$7:BC$83)+SUMIF('прогноз на 20.05.12'!$C$7:$C$83,$K34,'прогноз на 20.05.12'!BC$7:BC$83)</f>
        <v>24914</v>
      </c>
      <c r="BD34" s="41">
        <f>SUMIF('прогноз на 20.05.12'!$C$7:$C$83,$C34,'прогноз на 20.05.12'!BD$7:BD$83)+SUMIF('прогноз на 20.05.12'!$C$7:$C$83,$E34,'прогноз на 20.05.12'!BD$7:BD$83)+SUMIF('прогноз на 20.05.12'!$C$7:$C$83,$G34,'прогноз на 20.05.12'!BD$7:BD$83)+SUMIF('прогноз на 20.05.12'!$C$7:$C$83,$I34,'прогноз на 20.05.12'!BD$7:BD$83)+SUMIF('прогноз на 20.05.12'!$C$7:$C$83,$K34,'прогноз на 20.05.12'!BD$7:BD$83)</f>
        <v>48067</v>
      </c>
      <c r="BE34" s="41">
        <f>SUMIF('прогноз на 20.05.12'!$C$7:$C$83,$C34,'прогноз на 20.05.12'!BE$7:BE$83)+SUMIF('прогноз на 20.05.12'!$C$7:$C$83,$E34,'прогноз на 20.05.12'!BE$7:BE$83)+SUMIF('прогноз на 20.05.12'!$C$7:$C$83,$G34,'прогноз на 20.05.12'!BE$7:BE$83)+SUMIF('прогноз на 20.05.12'!$C$7:$C$83,$I34,'прогноз на 20.05.12'!BE$7:BE$83)+SUMIF('прогноз на 20.05.12'!$C$7:$C$83,$K34,'прогноз на 20.05.12'!BE$7:BE$83)</f>
        <v>-23153</v>
      </c>
      <c r="BF34" s="41">
        <f>SUMIF('прогноз на 20.05.12'!$C$7:$C$83,$C34,'прогноз на 20.05.12'!BF$7:BF$83)+SUMIF('прогноз на 20.05.12'!$C$7:$C$83,$E34,'прогноз на 20.05.12'!BF$7:BF$83)+SUMIF('прогноз на 20.05.12'!$C$7:$C$83,$G34,'прогноз на 20.05.12'!BF$7:BF$83)+SUMIF('прогноз на 20.05.12'!$C$7:$C$83,$I34,'прогноз на 20.05.12'!BF$7:BF$83)+SUMIF('прогноз на 20.05.12'!$C$7:$C$83,$K34,'прогноз на 20.05.12'!BF$7:BF$83)</f>
        <v>-303284</v>
      </c>
      <c r="BG34" s="41">
        <f>SUMIF('прогноз на 20.05.12'!$C$7:$C$83,$C34,'прогноз на 20.05.12'!BG$7:BG$83)+SUMIF('прогноз на 20.05.12'!$C$7:$C$83,$E34,'прогноз на 20.05.12'!BG$7:BG$83)+SUMIF('прогноз на 20.05.12'!$C$7:$C$83,$G34,'прогноз на 20.05.12'!BG$7:BG$83)+SUMIF('прогноз на 20.05.12'!$C$7:$C$83,$I34,'прогноз на 20.05.12'!BG$7:BG$83)+SUMIF('прогноз на 20.05.12'!$C$7:$C$83,$K34,'прогноз на 20.05.12'!BG$7:BG$83)</f>
        <v>45498</v>
      </c>
      <c r="BH34" s="41">
        <f>SUMIF('прогноз на 20.05.12'!$C$7:$C$83,$C34,'прогноз на 20.05.12'!BH$7:BH$83)+SUMIF('прогноз на 20.05.12'!$C$7:$C$83,$E34,'прогноз на 20.05.12'!BH$7:BH$83)+SUMIF('прогноз на 20.05.12'!$C$7:$C$83,$G34,'прогноз на 20.05.12'!BH$7:BH$83)+SUMIF('прогноз на 20.05.12'!$C$7:$C$83,$I34,'прогноз на 20.05.12'!BH$7:BH$83)+SUMIF('прогноз на 20.05.12'!$C$7:$C$83,$K34,'прогноз на 20.05.12'!BH$7:BH$83)</f>
        <v>-348782</v>
      </c>
      <c r="BI34" s="90">
        <f t="shared" si="10"/>
        <v>5.5714285714285712</v>
      </c>
      <c r="BJ34" s="90">
        <f t="shared" si="11"/>
        <v>15</v>
      </c>
      <c r="BK34" s="90">
        <f t="shared" si="12"/>
        <v>16.5</v>
      </c>
      <c r="BL34" s="90">
        <f t="shared" si="13"/>
        <v>10.5</v>
      </c>
    </row>
    <row r="35" spans="1:64" s="59" customFormat="1" ht="18.75">
      <c r="A35" s="38">
        <v>29</v>
      </c>
      <c r="B35" s="39" t="s">
        <v>73</v>
      </c>
      <c r="C35" s="40" t="s">
        <v>242</v>
      </c>
      <c r="D35" s="56" t="s">
        <v>41</v>
      </c>
      <c r="E35" s="56" t="s">
        <v>247</v>
      </c>
      <c r="F35" s="58"/>
      <c r="G35" s="58"/>
      <c r="H35" s="58"/>
      <c r="I35" s="58"/>
      <c r="J35" s="58"/>
      <c r="K35" s="58"/>
      <c r="L35" s="41">
        <f>SUMIF('прогноз на 20.05.12'!$C$7:$C$83,$C35,'прогноз на 20.05.12'!D$7:D$83)+SUMIF('прогноз на 20.05.12'!$C$7:$C$83,$E35,'прогноз на 20.05.12'!D$7:D$83)+SUMIF('прогноз на 20.05.12'!$C$7:$C$83,$G35,'прогноз на 20.05.12'!D$7:D$83)+SUMIF('прогноз на 20.05.12'!$C$7:$C$83,$I35,'прогноз на 20.05.12'!D$7:D$83)+SUMIF('прогноз на 20.05.12'!$C$7:$C$83,$K35,'прогноз на 20.05.12'!D$7:D$83)</f>
        <v>27</v>
      </c>
      <c r="M35" s="41">
        <f>SUMIF('прогноз на 20.05.12'!$C$7:$C$83,$C35,'прогноз на 20.05.12'!E$7:E$83)+SUMIF('прогноз на 20.05.12'!$C$7:$C$83,$E35,'прогноз на 20.05.12'!E$7:E$83)+SUMIF('прогноз на 20.05.12'!$C$7:$C$83,$G35,'прогноз на 20.05.12'!E$7:E$83)+SUMIF('прогноз на 20.05.12'!$C$7:$C$83,$I35,'прогноз на 20.05.12'!E$7:E$83)+SUMIF('прогноз на 20.05.12'!$C$7:$C$83,$K35,'прогноз на 20.05.12'!E$7:E$83)</f>
        <v>44</v>
      </c>
      <c r="N35" s="41">
        <f>SUMIF('прогноз на 20.05.12'!$C$7:$C$83,$C35,'прогноз на 20.05.12'!F$7:F$83)+SUMIF('прогноз на 20.05.12'!$C$7:$C$83,$E35,'прогноз на 20.05.12'!F$7:F$83)+SUMIF('прогноз на 20.05.12'!$C$7:$C$83,$G35,'прогноз на 20.05.12'!F$7:F$83)+SUMIF('прогноз на 20.05.12'!$C$7:$C$83,$I35,'прогноз на 20.05.12'!F$7:F$83)+SUMIF('прогноз на 20.05.12'!$C$7:$C$83,$K35,'прогноз на 20.05.12'!F$7:F$83)</f>
        <v>0</v>
      </c>
      <c r="O35" s="44">
        <f t="shared" si="6"/>
        <v>71</v>
      </c>
      <c r="P35" s="41">
        <f>SUMIF('прогноз на 20.05.12'!$C$7:$C$83,$C35,'прогноз на 20.05.12'!H$7:H$83)+SUMIF('прогноз на 20.05.12'!$C$7:$C$83,$E35,'прогноз на 20.05.12'!H$7:H$83)+SUMIF('прогноз на 20.05.12'!$C$7:$C$83,$G35,'прогноз на 20.05.12'!H$7:H$83)+SUMIF('прогноз на 20.05.12'!$C$7:$C$83,$I35,'прогноз на 20.05.12'!H$7:H$83)+SUMIF('прогноз на 20.05.12'!$C$7:$C$83,$K35,'прогноз на 20.05.12'!H$7:H$83)</f>
        <v>4</v>
      </c>
      <c r="Q35" s="41">
        <f>SUMIF('прогноз на 20.05.12'!$C$7:$C$83,$C35,'прогноз на 20.05.12'!I$7:I$83)+SUMIF('прогноз на 20.05.12'!$C$7:$C$83,$E35,'прогноз на 20.05.12'!I$7:I$83)+SUMIF('прогноз на 20.05.12'!$C$7:$C$83,$G35,'прогноз на 20.05.12'!I$7:I$83)+SUMIF('прогноз на 20.05.12'!$C$7:$C$83,$I35,'прогноз на 20.05.12'!I$7:I$83)+SUMIF('прогноз на 20.05.12'!$C$7:$C$83,$K35,'прогноз на 20.05.12'!I$7:I$83)</f>
        <v>5</v>
      </c>
      <c r="R35" s="41">
        <f>SUMIF('прогноз на 20.05.12'!$C$7:$C$83,$C35,'прогноз на 20.05.12'!J$7:J$83)+SUMIF('прогноз на 20.05.12'!$C$7:$C$83,$E35,'прогноз на 20.05.12'!J$7:J$83)+SUMIF('прогноз на 20.05.12'!$C$7:$C$83,$G35,'прогноз на 20.05.12'!J$7:J$83)+SUMIF('прогноз на 20.05.12'!$C$7:$C$83,$I35,'прогноз на 20.05.12'!J$7:J$83)+SUMIF('прогноз на 20.05.12'!$C$7:$C$83,$K35,'прогноз на 20.05.12'!J$7:J$83)</f>
        <v>0</v>
      </c>
      <c r="S35" s="45">
        <f t="shared" ref="S35:S38" si="14">P35+Q35+R35</f>
        <v>9</v>
      </c>
      <c r="T35" s="41">
        <f>SUMIF('прогноз на 20.05.12'!$C$7:$C$83,$C35,'прогноз на 20.05.12'!L$7:L$83)+SUMIF('прогноз на 20.05.12'!$C$7:$C$83,$E35,'прогноз на 20.05.12'!L$7:L$83)+SUMIF('прогноз на 20.05.12'!$C$7:$C$83,$G35,'прогноз на 20.05.12'!L$7:L$83)+SUMIF('прогноз на 20.05.12'!$C$7:$C$83,$I35,'прогноз на 20.05.12'!L$7:L$83)+SUMIF('прогноз на 20.05.12'!$C$7:$C$83,$K35,'прогноз на 20.05.12'!L$7:L$83)</f>
        <v>0</v>
      </c>
      <c r="U35" s="41">
        <f>SUMIF('прогноз на 20.05.12'!$C$7:$C$83,$C35,'прогноз на 20.05.12'!M$7:M$83)+SUMIF('прогноз на 20.05.12'!$C$7:$C$83,$E35,'прогноз на 20.05.12'!M$7:M$83)+SUMIF('прогноз на 20.05.12'!$C$7:$C$83,$G35,'прогноз на 20.05.12'!M$7:M$83)+SUMIF('прогноз на 20.05.12'!$C$7:$C$83,$I35,'прогноз на 20.05.12'!M$7:M$83)+SUMIF('прогноз на 20.05.12'!$C$7:$C$83,$K35,'прогноз на 20.05.12'!M$7:M$83)</f>
        <v>1</v>
      </c>
      <c r="V35" s="41">
        <f>SUMIF('прогноз на 20.05.12'!$C$7:$C$83,$C35,'прогноз на 20.05.12'!N$7:N$83)+SUMIF('прогноз на 20.05.12'!$C$7:$C$83,$E35,'прогноз на 20.05.12'!N$7:N$83)+SUMIF('прогноз на 20.05.12'!$C$7:$C$83,$G35,'прогноз на 20.05.12'!N$7:N$83)+SUMIF('прогноз на 20.05.12'!$C$7:$C$83,$I35,'прогноз на 20.05.12'!N$7:N$83)+SUMIF('прогноз на 20.05.12'!$C$7:$C$83,$K35,'прогноз на 20.05.12'!N$7:N$83)</f>
        <v>0</v>
      </c>
      <c r="W35" s="45">
        <f t="shared" ref="W35:W38" si="15">T35+U35+V35</f>
        <v>1</v>
      </c>
      <c r="X35" s="41">
        <f>SUMIF('прогноз на 20.05.12'!$C$7:$C$83,$C35,'прогноз на 20.05.12'!P$7:P$83)+SUMIF('прогноз на 20.05.12'!$C$7:$C$83,$E35,'прогноз на 20.05.12'!P$7:P$83)+SUMIF('прогноз на 20.05.12'!$C$7:$C$83,$G35,'прогноз на 20.05.12'!P$7:P$83)+SUMIF('прогноз на 20.05.12'!$C$7:$C$83,$I35,'прогноз на 20.05.12'!P$7:P$83)+SUMIF('прогноз на 20.05.12'!$C$7:$C$83,$K35,'прогноз на 20.05.12'!P$7:P$83)</f>
        <v>0</v>
      </c>
      <c r="Y35" s="41">
        <f>SUMIF('прогноз на 20.05.12'!$C$7:$C$83,$C35,'прогноз на 20.05.12'!Q$7:Q$83)+SUMIF('прогноз на 20.05.12'!$C$7:$C$83,$E35,'прогноз на 20.05.12'!Q$7:Q$83)+SUMIF('прогноз на 20.05.12'!$C$7:$C$83,$G35,'прогноз на 20.05.12'!Q$7:Q$83)+SUMIF('прогноз на 20.05.12'!$C$7:$C$83,$I35,'прогноз на 20.05.12'!Q$7:Q$83)+SUMIF('прогноз на 20.05.12'!$C$7:$C$83,$K35,'прогноз на 20.05.12'!Q$7:Q$83)</f>
        <v>0</v>
      </c>
      <c r="Z35" s="45"/>
      <c r="AA35" s="41">
        <f>SUMIF('прогноз на 20.05.12'!$C$7:$C$83,$C35,'прогноз на 20.05.12'!S$7:S$83)+SUMIF('прогноз на 20.05.12'!$C$7:$C$83,$E35,'прогноз на 20.05.12'!S$7:S$83)+SUMIF('прогноз на 20.05.12'!$C$7:$C$83,$G35,'прогноз на 20.05.12'!S$7:S$83)+SUMIF('прогноз на 20.05.12'!$C$7:$C$83,$I35,'прогноз на 20.05.12'!S$7:S$83)+SUMIF('прогноз на 20.05.12'!$C$7:$C$83,$K35,'прогноз на 20.05.12'!S$7:S$83)</f>
        <v>34</v>
      </c>
      <c r="AB35" s="41">
        <f>SUMIF('прогноз на 20.05.12'!$C$7:$C$83,$C35,'прогноз на 20.05.12'!T$7:T$83)+SUMIF('прогноз на 20.05.12'!$C$7:$C$83,$E35,'прогноз на 20.05.12'!T$7:T$83)+SUMIF('прогноз на 20.05.12'!$C$7:$C$83,$G35,'прогноз на 20.05.12'!T$7:T$83)+SUMIF('прогноз на 20.05.12'!$C$7:$C$83,$I35,'прогноз на 20.05.12'!T$7:T$83)+SUMIF('прогноз на 20.05.12'!$C$7:$C$83,$K35,'прогноз на 20.05.12'!T$7:T$83)</f>
        <v>70</v>
      </c>
      <c r="AC35" s="41">
        <f>SUMIF('прогноз на 20.05.12'!$C$7:$C$83,$C35,'прогноз на 20.05.12'!U$7:U$83)+SUMIF('прогноз на 20.05.12'!$C$7:$C$83,$E35,'прогноз на 20.05.12'!U$7:U$83)+SUMIF('прогноз на 20.05.12'!$C$7:$C$83,$G35,'прогноз на 20.05.12'!U$7:U$83)+SUMIF('прогноз на 20.05.12'!$C$7:$C$83,$I35,'прогноз на 20.05.12'!U$7:U$83)+SUMIF('прогноз на 20.05.12'!$C$7:$C$83,$K35,'прогноз на 20.05.12'!U$7:U$83)</f>
        <v>0</v>
      </c>
      <c r="AD35" s="41">
        <f>SUMIF('прогноз на 20.05.12'!$C$7:$C$83,$C35,'прогноз на 20.05.12'!V$7:V$83)+SUMIF('прогноз на 20.05.12'!$C$7:$C$83,$E35,'прогноз на 20.05.12'!V$7:V$83)+SUMIF('прогноз на 20.05.12'!$C$7:$C$83,$G35,'прогноз на 20.05.12'!V$7:V$83)+SUMIF('прогноз на 20.05.12'!$C$7:$C$83,$I35,'прогноз на 20.05.12'!V$7:V$83)+SUMIF('прогноз на 20.05.12'!$C$7:$C$83,$K35,'прогноз на 20.05.12'!V$7:V$83)</f>
        <v>104</v>
      </c>
      <c r="AE35" s="41">
        <f>SUMIF('прогноз на 20.05.12'!$C$7:$C$83,$C35,'прогноз на 20.05.12'!W$7:W$83)+SUMIF('прогноз на 20.05.12'!$C$7:$C$83,$E35,'прогноз на 20.05.12'!W$7:W$83)+SUMIF('прогноз на 20.05.12'!$C$7:$C$83,$G35,'прогноз на 20.05.12'!W$7:W$83)+SUMIF('прогноз на 20.05.12'!$C$7:$C$83,$I35,'прогноз на 20.05.12'!W$7:W$83)+SUMIF('прогноз на 20.05.12'!$C$7:$C$83,$K35,'прогноз на 20.05.12'!W$7:W$83)</f>
        <v>7</v>
      </c>
      <c r="AF35" s="41">
        <f>SUMIF('прогноз на 20.05.12'!$C$7:$C$83,$C35,'прогноз на 20.05.12'!X$7:X$83)+SUMIF('прогноз на 20.05.12'!$C$7:$C$83,$E35,'прогноз на 20.05.12'!X$7:X$83)+SUMIF('прогноз на 20.05.12'!$C$7:$C$83,$G35,'прогноз на 20.05.12'!X$7:X$83)+SUMIF('прогноз на 20.05.12'!$C$7:$C$83,$I35,'прогноз на 20.05.12'!X$7:X$83)+SUMIF('прогноз на 20.05.12'!$C$7:$C$83,$K35,'прогноз на 20.05.12'!X$7:X$83)</f>
        <v>26</v>
      </c>
      <c r="AG35" s="41">
        <f>SUMIF('прогноз на 20.05.12'!$C$7:$C$83,$C35,'прогноз на 20.05.12'!Y$7:Y$83)+SUMIF('прогноз на 20.05.12'!$C$7:$C$83,$E35,'прогноз на 20.05.12'!Y$7:Y$83)+SUMIF('прогноз на 20.05.12'!$C$7:$C$83,$G35,'прогноз на 20.05.12'!Y$7:Y$83)+SUMIF('прогноз на 20.05.12'!$C$7:$C$83,$I35,'прогноз на 20.05.12'!Y$7:Y$83)+SUMIF('прогноз на 20.05.12'!$C$7:$C$83,$K35,'прогноз на 20.05.12'!Y$7:Y$83)</f>
        <v>0</v>
      </c>
      <c r="AH35" s="41">
        <f>SUMIF('прогноз на 20.05.12'!$C$7:$C$83,$C35,'прогноз на 20.05.12'!Z$7:Z$83)+SUMIF('прогноз на 20.05.12'!$C$7:$C$83,$E35,'прогноз на 20.05.12'!Z$7:Z$83)+SUMIF('прогноз на 20.05.12'!$C$7:$C$83,$G35,'прогноз на 20.05.12'!Z$7:Z$83)+SUMIF('прогноз на 20.05.12'!$C$7:$C$83,$I35,'прогноз на 20.05.12'!Z$7:Z$83)+SUMIF('прогноз на 20.05.12'!$C$7:$C$83,$K35,'прогноз на 20.05.12'!Z$7:Z$83)</f>
        <v>33</v>
      </c>
      <c r="AI35" s="41">
        <f>SUMIF('прогноз на 20.05.12'!$C$7:$C$83,$C35,'прогноз на 20.05.12'!AA$7:AA$83)+SUMIF('прогноз на 20.05.12'!$C$7:$C$83,$E35,'прогноз на 20.05.12'!AA$7:AA$83)+SUMIF('прогноз на 20.05.12'!$C$7:$C$83,$G35,'прогноз на 20.05.12'!AA$7:AA$83)+SUMIF('прогноз на 20.05.12'!$C$7:$C$83,$I35,'прогноз на 20.05.12'!AA$7:AA$83)+SUMIF('прогноз на 20.05.12'!$C$7:$C$83,$K35,'прогноз на 20.05.12'!AA$7:AA$83)</f>
        <v>5.25</v>
      </c>
      <c r="AJ35" s="41">
        <f>SUMIF('прогноз на 20.05.12'!$C$7:$C$83,$C35,'прогноз на 20.05.12'!AB$7:AB$83)+SUMIF('прогноз на 20.05.12'!$C$7:$C$83,$E35,'прогноз на 20.05.12'!AB$7:AB$83)+SUMIF('прогноз на 20.05.12'!$C$7:$C$83,$G35,'прогноз на 20.05.12'!AB$7:AB$83)+SUMIF('прогноз на 20.05.12'!$C$7:$C$83,$I35,'прогноз на 20.05.12'!AB$7:AB$83)+SUMIF('прогноз на 20.05.12'!$C$7:$C$83,$K35,'прогноз на 20.05.12'!AB$7:AB$83)</f>
        <v>19.5</v>
      </c>
      <c r="AK35" s="41">
        <f>SUMIF('прогноз на 20.05.12'!$C$7:$C$83,$C35,'прогноз на 20.05.12'!AC$7:AC$83)+SUMIF('прогноз на 20.05.12'!$C$7:$C$83,$E35,'прогноз на 20.05.12'!AC$7:AC$83)+SUMIF('прогноз на 20.05.12'!$C$7:$C$83,$G35,'прогноз на 20.05.12'!AC$7:AC$83)+SUMIF('прогноз на 20.05.12'!$C$7:$C$83,$I35,'прогноз на 20.05.12'!AC$7:AC$83)+SUMIF('прогноз на 20.05.12'!$C$7:$C$83,$K35,'прогноз на 20.05.12'!AC$7:AC$83)</f>
        <v>0</v>
      </c>
      <c r="AL35" s="41">
        <f>SUMIF('прогноз на 20.05.12'!$C$7:$C$83,$C35,'прогноз на 20.05.12'!AD$7:AD$83)+SUMIF('прогноз на 20.05.12'!$C$7:$C$83,$E35,'прогноз на 20.05.12'!AD$7:AD$83)+SUMIF('прогноз на 20.05.12'!$C$7:$C$83,$G35,'прогноз на 20.05.12'!AD$7:AD$83)+SUMIF('прогноз на 20.05.12'!$C$7:$C$83,$I35,'прогноз на 20.05.12'!AD$7:AD$83)+SUMIF('прогноз на 20.05.12'!$C$7:$C$83,$K35,'прогноз на 20.05.12'!AD$7:AD$83)</f>
        <v>24.75</v>
      </c>
      <c r="AM35" s="41">
        <f>SUMIF('прогноз на 20.05.12'!$C$7:$C$83,$C35,'прогноз на 20.05.12'!AE$7:AE$83)+SUMIF('прогноз на 20.05.12'!$C$7:$C$83,$E35,'прогноз на 20.05.12'!AE$7:AE$83)+SUMIF('прогноз на 20.05.12'!$C$7:$C$83,$G35,'прогноз на 20.05.12'!AE$7:AE$83)+SUMIF('прогноз на 20.05.12'!$C$7:$C$83,$I35,'прогноз на 20.05.12'!AE$7:AE$83)+SUMIF('прогноз на 20.05.12'!$C$7:$C$83,$K35,'прогноз на 20.05.12'!AE$7:AE$83)</f>
        <v>32.25</v>
      </c>
      <c r="AN35" s="41">
        <f>SUMIF('прогноз на 20.05.12'!$C$7:$C$83,$C35,'прогноз на 20.05.12'!AF$7:AF$83)+SUMIF('прогноз на 20.05.12'!$C$7:$C$83,$E35,'прогноз на 20.05.12'!AF$7:AF$83)+SUMIF('прогноз на 20.05.12'!$C$7:$C$83,$G35,'прогноз на 20.05.12'!AF$7:AF$83)+SUMIF('прогноз на 20.05.12'!$C$7:$C$83,$I35,'прогноз на 20.05.12'!AF$7:AF$83)+SUMIF('прогноз на 20.05.12'!$C$7:$C$83,$K35,'прогноз на 20.05.12'!AF$7:AF$83)</f>
        <v>63.5</v>
      </c>
      <c r="AO35" s="41">
        <f>SUMIF('прогноз на 20.05.12'!$C$7:$C$83,$C35,'прогноз на 20.05.12'!AG$7:AG$83)+SUMIF('прогноз на 20.05.12'!$C$7:$C$83,$E35,'прогноз на 20.05.12'!AG$7:AG$83)+SUMIF('прогноз на 20.05.12'!$C$7:$C$83,$G35,'прогноз на 20.05.12'!AG$7:AG$83)+SUMIF('прогноз на 20.05.12'!$C$7:$C$83,$I35,'прогноз на 20.05.12'!AG$7:AG$83)+SUMIF('прогноз на 20.05.12'!$C$7:$C$83,$K35,'прогноз на 20.05.12'!AG$7:AG$83)</f>
        <v>0</v>
      </c>
      <c r="AP35" s="41">
        <f>SUMIF('прогноз на 20.05.12'!$C$7:$C$83,$C35,'прогноз на 20.05.12'!AH$7:AH$83)+SUMIF('прогноз на 20.05.12'!$C$7:$C$83,$E35,'прогноз на 20.05.12'!AH$7:AH$83)+SUMIF('прогноз на 20.05.12'!$C$7:$C$83,$G35,'прогноз на 20.05.12'!AH$7:AH$83)+SUMIF('прогноз на 20.05.12'!$C$7:$C$83,$I35,'прогноз на 20.05.12'!AH$7:AH$83)+SUMIF('прогноз на 20.05.12'!$C$7:$C$83,$K35,'прогноз на 20.05.12'!AH$7:AH$83)</f>
        <v>95.75</v>
      </c>
      <c r="AQ35" s="41">
        <f>SUMIF('прогноз на 20.05.12'!$C$7:$C$83,$C35,'прогноз на 20.05.12'!AM$7:AM$83)+SUMIF('прогноз на 20.05.12'!$C$7:$C$83,$E35,'прогноз на 20.05.12'!AM$7:AM$83)+SUMIF('прогноз на 20.05.12'!$C$7:$C$83,$G35,'прогноз на 20.05.12'!AM$7:AM$83)+SUMIF('прогноз на 20.05.12'!$C$7:$C$83,$I35,'прогноз на 20.05.12'!AM$7:AM$83)+SUMIF('прогноз на 20.05.12'!$C$7:$C$83,$K35,'прогноз на 20.05.12'!AM$7:AM$83)</f>
        <v>104774.25</v>
      </c>
      <c r="AR35" s="41">
        <f>SUMIF('прогноз на 20.05.12'!$C$7:$C$83,$C35,'прогноз на 20.05.12'!AN$7:AN$83)+SUMIF('прогноз на 20.05.12'!$C$7:$C$83,$E35,'прогноз на 20.05.12'!AN$7:AN$83)+SUMIF('прогноз на 20.05.12'!$C$7:$C$83,$G35,'прогноз на 20.05.12'!AN$7:AN$83)+SUMIF('прогноз на 20.05.12'!$C$7:$C$83,$I35,'прогноз на 20.05.12'!AN$7:AN$83)+SUMIF('прогноз на 20.05.12'!$C$7:$C$83,$K35,'прогноз на 20.05.12'!AN$7:AN$83)</f>
        <v>662590.5</v>
      </c>
      <c r="AS35" s="41">
        <f>SUMIF('прогноз на 20.05.12'!$C$7:$C$83,$C35,'прогноз на 20.05.12'!AO$7:AO$83)+SUMIF('прогноз на 20.05.12'!$C$7:$C$83,$E35,'прогноз на 20.05.12'!AO$7:AO$83)+SUMIF('прогноз на 20.05.12'!$C$7:$C$83,$G35,'прогноз на 20.05.12'!AO$7:AO$83)+SUMIF('прогноз на 20.05.12'!$C$7:$C$83,$I35,'прогноз на 20.05.12'!AO$7:AO$83)+SUMIF('прогноз на 20.05.12'!$C$7:$C$83,$K35,'прогноз на 20.05.12'!AO$7:AO$83)</f>
        <v>0</v>
      </c>
      <c r="AT35" s="41">
        <f>SUMIF('прогноз на 20.05.12'!$C$7:$C$83,$C35,'прогноз на 20.05.12'!AP$7:AP$83)+SUMIF('прогноз на 20.05.12'!$C$7:$C$83,$E35,'прогноз на 20.05.12'!AP$7:AP$83)+SUMIF('прогноз на 20.05.12'!$C$7:$C$83,$G35,'прогноз на 20.05.12'!AP$7:AP$83)+SUMIF('прогноз на 20.05.12'!$C$7:$C$83,$I35,'прогноз на 20.05.12'!AP$7:AP$83)+SUMIF('прогноз на 20.05.12'!$C$7:$C$83,$K35,'прогноз на 20.05.12'!AP$7:AP$83)</f>
        <v>767364.75</v>
      </c>
      <c r="AU35" s="41">
        <f>SUMIF('прогноз на 20.05.12'!$C$7:$C$83,$C35,'прогноз на 20.05.12'!AU$7:AU$83)+SUMIF('прогноз на 20.05.12'!$C$7:$C$83,$E35,'прогноз на 20.05.12'!AU$7:AU$83)+SUMIF('прогноз на 20.05.12'!$C$7:$C$83,$G35,'прогноз на 20.05.12'!AU$7:AU$83)+SUMIF('прогноз на 20.05.12'!$C$7:$C$83,$I35,'прогноз на 20.05.12'!AU$7:AU$83)+SUMIF('прогноз на 20.05.12'!$C$7:$C$83,$K35,'прогноз на 20.05.12'!AU$7:AU$83)</f>
        <v>6641.25</v>
      </c>
      <c r="AV35" s="41">
        <f>SUMIF('прогноз на 20.05.12'!$C$7:$C$83,$C35,'прогноз на 20.05.12'!AV$7:AV$83)+SUMIF('прогноз на 20.05.12'!$C$7:$C$83,$E35,'прогноз на 20.05.12'!AV$7:AV$83)+SUMIF('прогноз на 20.05.12'!$C$7:$C$83,$G35,'прогноз на 20.05.12'!AV$7:AV$83)+SUMIF('прогноз на 20.05.12'!$C$7:$C$83,$I35,'прогноз на 20.05.12'!AV$7:AV$83)+SUMIF('прогноз на 20.05.12'!$C$7:$C$83,$K35,'прогноз на 20.05.12'!AV$7:AV$83)</f>
        <v>28099.5</v>
      </c>
      <c r="AW35" s="41">
        <f>SUMIF('прогноз на 20.05.12'!$C$7:$C$83,$C35,'прогноз на 20.05.12'!AW$7:AW$83)+SUMIF('прогноз на 20.05.12'!$C$7:$C$83,$E35,'прогноз на 20.05.12'!AW$7:AW$83)+SUMIF('прогноз на 20.05.12'!$C$7:$C$83,$G35,'прогноз на 20.05.12'!AW$7:AW$83)+SUMIF('прогноз на 20.05.12'!$C$7:$C$83,$I35,'прогноз на 20.05.12'!AW$7:AW$83)+SUMIF('прогноз на 20.05.12'!$C$7:$C$83,$K35,'прогноз на 20.05.12'!AW$7:AW$83)</f>
        <v>0</v>
      </c>
      <c r="AX35" s="41">
        <f>SUMIF('прогноз на 20.05.12'!$C$7:$C$83,$C35,'прогноз на 20.05.12'!AX$7:AX$83)+SUMIF('прогноз на 20.05.12'!$C$7:$C$83,$E35,'прогноз на 20.05.12'!AX$7:AX$83)+SUMIF('прогноз на 20.05.12'!$C$7:$C$83,$G35,'прогноз на 20.05.12'!AX$7:AX$83)+SUMIF('прогноз на 20.05.12'!$C$7:$C$83,$I35,'прогноз на 20.05.12'!AX$7:AX$83)+SUMIF('прогноз на 20.05.12'!$C$7:$C$83,$K35,'прогноз на 20.05.12'!AX$7:AX$83)</f>
        <v>34740.75</v>
      </c>
      <c r="AY35" s="41">
        <f>SUMIF('прогноз на 20.05.12'!$C$7:$C$83,$C35,'прогноз на 20.05.12'!AY$7:AY$83)+SUMIF('прогноз на 20.05.12'!$C$7:$C$83,$E35,'прогноз на 20.05.12'!AY$7:AY$83)+SUMIF('прогноз на 20.05.12'!$C$7:$C$83,$G35,'прогноз на 20.05.12'!AY$7:AY$83)+SUMIF('прогноз на 20.05.12'!$C$7:$C$83,$I35,'прогноз на 20.05.12'!AY$7:AY$83)+SUMIF('прогноз на 20.05.12'!$C$7:$C$83,$K35,'прогноз на 20.05.12'!AY$7:AY$83)</f>
        <v>111415.5</v>
      </c>
      <c r="AZ35" s="41">
        <f>SUMIF('прогноз на 20.05.12'!$C$7:$C$83,$C35,'прогноз на 20.05.12'!AZ$7:AZ$83)+SUMIF('прогноз на 20.05.12'!$C$7:$C$83,$E35,'прогноз на 20.05.12'!AZ$7:AZ$83)+SUMIF('прогноз на 20.05.12'!$C$7:$C$83,$G35,'прогноз на 20.05.12'!AZ$7:AZ$83)+SUMIF('прогноз на 20.05.12'!$C$7:$C$83,$I35,'прогноз на 20.05.12'!AZ$7:AZ$83)+SUMIF('прогноз на 20.05.12'!$C$7:$C$83,$K35,'прогноз на 20.05.12'!AZ$7:AZ$83)</f>
        <v>690690</v>
      </c>
      <c r="BA35" s="41">
        <f>SUMIF('прогноз на 20.05.12'!$C$7:$C$83,$C35,'прогноз на 20.05.12'!BA$7:BA$83)+SUMIF('прогноз на 20.05.12'!$C$7:$C$83,$E35,'прогноз на 20.05.12'!BA$7:BA$83)+SUMIF('прогноз на 20.05.12'!$C$7:$C$83,$G35,'прогноз на 20.05.12'!BA$7:BA$83)+SUMIF('прогноз на 20.05.12'!$C$7:$C$83,$I35,'прогноз на 20.05.12'!BA$7:BA$83)+SUMIF('прогноз на 20.05.12'!$C$7:$C$83,$K35,'прогноз на 20.05.12'!BA$7:BA$83)</f>
        <v>0</v>
      </c>
      <c r="BB35" s="41">
        <f>SUMIF('прогноз на 20.05.12'!$C$7:$C$83,$C35,'прогноз на 20.05.12'!BB$7:BB$83)+SUMIF('прогноз на 20.05.12'!$C$7:$C$83,$E35,'прогноз на 20.05.12'!BB$7:BB$83)+SUMIF('прогноз на 20.05.12'!$C$7:$C$83,$G35,'прогноз на 20.05.12'!BB$7:BB$83)+SUMIF('прогноз на 20.05.12'!$C$7:$C$83,$I35,'прогноз на 20.05.12'!BB$7:BB$83)+SUMIF('прогноз на 20.05.12'!$C$7:$C$83,$K35,'прогноз на 20.05.12'!BB$7:BB$83)</f>
        <v>802105.5</v>
      </c>
      <c r="BC35" s="41">
        <f>SUMIF('прогноз на 20.05.12'!$C$7:$C$83,$C35,'прогноз на 20.05.12'!BC$7:BC$83)+SUMIF('прогноз на 20.05.12'!$C$7:$C$83,$E35,'прогноз на 20.05.12'!BC$7:BC$83)+SUMIF('прогноз на 20.05.12'!$C$7:$C$83,$G35,'прогноз на 20.05.12'!BC$7:BC$83)+SUMIF('прогноз на 20.05.12'!$C$7:$C$83,$I35,'прогноз на 20.05.12'!BC$7:BC$83)+SUMIF('прогноз на 20.05.12'!$C$7:$C$83,$K35,'прогноз на 20.05.12'!BC$7:BC$83)</f>
        <v>958540</v>
      </c>
      <c r="BD35" s="41">
        <f>SUMIF('прогноз на 20.05.12'!$C$7:$C$83,$C35,'прогноз на 20.05.12'!BD$7:BD$83)+SUMIF('прогноз на 20.05.12'!$C$7:$C$83,$E35,'прогноз на 20.05.12'!BD$7:BD$83)+SUMIF('прогноз на 20.05.12'!$C$7:$C$83,$G35,'прогноз на 20.05.12'!BD$7:BD$83)+SUMIF('прогноз на 20.05.12'!$C$7:$C$83,$I35,'прогноз на 20.05.12'!BD$7:BD$83)+SUMIF('прогноз на 20.05.12'!$C$7:$C$83,$K35,'прогноз на 20.05.12'!BD$7:BD$83)</f>
        <v>958540</v>
      </c>
      <c r="BE35" s="41">
        <f>SUMIF('прогноз на 20.05.12'!$C$7:$C$83,$C35,'прогноз на 20.05.12'!BE$7:BE$83)+SUMIF('прогноз на 20.05.12'!$C$7:$C$83,$E35,'прогноз на 20.05.12'!BE$7:BE$83)+SUMIF('прогноз на 20.05.12'!$C$7:$C$83,$G35,'прогноз на 20.05.12'!BE$7:BE$83)+SUMIF('прогноз на 20.05.12'!$C$7:$C$83,$I35,'прогноз на 20.05.12'!BE$7:BE$83)+SUMIF('прогноз на 20.05.12'!$C$7:$C$83,$K35,'прогноз на 20.05.12'!BE$7:BE$83)</f>
        <v>0</v>
      </c>
      <c r="BF35" s="41">
        <f>SUMIF('прогноз на 20.05.12'!$C$7:$C$83,$C35,'прогноз на 20.05.12'!BF$7:BF$83)+SUMIF('прогноз на 20.05.12'!$C$7:$C$83,$E35,'прогноз на 20.05.12'!BF$7:BF$83)+SUMIF('прогноз на 20.05.12'!$C$7:$C$83,$G35,'прогноз на 20.05.12'!BF$7:BF$83)+SUMIF('прогноз на 20.05.12'!$C$7:$C$83,$I35,'прогноз на 20.05.12'!BF$7:BF$83)+SUMIF('прогноз на 20.05.12'!$C$7:$C$83,$K35,'прогноз на 20.05.12'!BF$7:BF$83)</f>
        <v>156434.5</v>
      </c>
      <c r="BG35" s="41">
        <f>SUMIF('прогноз на 20.05.12'!$C$7:$C$83,$C35,'прогноз на 20.05.12'!BG$7:BG$83)+SUMIF('прогноз на 20.05.12'!$C$7:$C$83,$E35,'прогноз на 20.05.12'!BG$7:BG$83)+SUMIF('прогноз на 20.05.12'!$C$7:$C$83,$G35,'прогноз на 20.05.12'!BG$7:BG$83)+SUMIF('прогноз на 20.05.12'!$C$7:$C$83,$I35,'прогноз на 20.05.12'!BG$7:BG$83)+SUMIF('прогноз на 20.05.12'!$C$7:$C$83,$K35,'прогноз на 20.05.12'!BG$7:BG$83)</f>
        <v>156434.5</v>
      </c>
      <c r="BH35" s="41">
        <f>SUMIF('прогноз на 20.05.12'!$C$7:$C$83,$C35,'прогноз на 20.05.12'!BH$7:BH$83)+SUMIF('прогноз на 20.05.12'!$C$7:$C$83,$E35,'прогноз на 20.05.12'!BH$7:BH$83)+SUMIF('прогноз на 20.05.12'!$C$7:$C$83,$G35,'прогноз на 20.05.12'!BH$7:BH$83)+SUMIF('прогноз на 20.05.12'!$C$7:$C$83,$I35,'прогноз на 20.05.12'!BH$7:BH$83)+SUMIF('прогноз на 20.05.12'!$C$7:$C$83,$K35,'прогноз на 20.05.12'!BH$7:BH$83)</f>
        <v>0</v>
      </c>
      <c r="BI35" s="90">
        <f t="shared" si="10"/>
        <v>6.75</v>
      </c>
      <c r="BJ35" s="90">
        <f t="shared" si="11"/>
        <v>8.8000000000000007</v>
      </c>
      <c r="BK35" s="90" t="str">
        <f t="shared" si="12"/>
        <v/>
      </c>
      <c r="BL35" s="90">
        <f t="shared" si="13"/>
        <v>7.8888888888888893</v>
      </c>
    </row>
    <row r="36" spans="1:64" s="59" customFormat="1" ht="18.75">
      <c r="A36" s="38">
        <v>30</v>
      </c>
      <c r="B36" s="39" t="s">
        <v>74</v>
      </c>
      <c r="C36" s="40" t="s">
        <v>246</v>
      </c>
      <c r="D36" s="56" t="s">
        <v>37</v>
      </c>
      <c r="E36" s="56" t="s">
        <v>240</v>
      </c>
      <c r="F36" s="58"/>
      <c r="G36" s="58"/>
      <c r="H36" s="58"/>
      <c r="I36" s="58"/>
      <c r="J36" s="58"/>
      <c r="K36" s="58"/>
      <c r="L36" s="41">
        <f>SUMIF('прогноз на 20.05.12'!$C$7:$C$83,$C36,'прогноз на 20.05.12'!D$7:D$83)+SUMIF('прогноз на 20.05.12'!$C$7:$C$83,$E36,'прогноз на 20.05.12'!D$7:D$83)+SUMIF('прогноз на 20.05.12'!$C$7:$C$83,$G36,'прогноз на 20.05.12'!D$7:D$83)+SUMIF('прогноз на 20.05.12'!$C$7:$C$83,$I36,'прогноз на 20.05.12'!D$7:D$83)+SUMIF('прогноз на 20.05.12'!$C$7:$C$83,$K36,'прогноз на 20.05.12'!D$7:D$83)</f>
        <v>26</v>
      </c>
      <c r="M36" s="41">
        <f>SUMIF('прогноз на 20.05.12'!$C$7:$C$83,$C36,'прогноз на 20.05.12'!E$7:E$83)+SUMIF('прогноз на 20.05.12'!$C$7:$C$83,$E36,'прогноз на 20.05.12'!E$7:E$83)+SUMIF('прогноз на 20.05.12'!$C$7:$C$83,$G36,'прогноз на 20.05.12'!E$7:E$83)+SUMIF('прогноз на 20.05.12'!$C$7:$C$83,$I36,'прогноз на 20.05.12'!E$7:E$83)+SUMIF('прогноз на 20.05.12'!$C$7:$C$83,$K36,'прогноз на 20.05.12'!E$7:E$83)</f>
        <v>37</v>
      </c>
      <c r="N36" s="41">
        <f>SUMIF('прогноз на 20.05.12'!$C$7:$C$83,$C36,'прогноз на 20.05.12'!F$7:F$83)+SUMIF('прогноз на 20.05.12'!$C$7:$C$83,$E36,'прогноз на 20.05.12'!F$7:F$83)+SUMIF('прогноз на 20.05.12'!$C$7:$C$83,$G36,'прогноз на 20.05.12'!F$7:F$83)+SUMIF('прогноз на 20.05.12'!$C$7:$C$83,$I36,'прогноз на 20.05.12'!F$7:F$83)+SUMIF('прогноз на 20.05.12'!$C$7:$C$83,$K36,'прогноз на 20.05.12'!F$7:F$83)</f>
        <v>24</v>
      </c>
      <c r="O36" s="44">
        <f t="shared" si="6"/>
        <v>87</v>
      </c>
      <c r="P36" s="41">
        <f>SUMIF('прогноз на 20.05.12'!$C$7:$C$83,$C36,'прогноз на 20.05.12'!H$7:H$83)+SUMIF('прогноз на 20.05.12'!$C$7:$C$83,$E36,'прогноз на 20.05.12'!H$7:H$83)+SUMIF('прогноз на 20.05.12'!$C$7:$C$83,$G36,'прогноз на 20.05.12'!H$7:H$83)+SUMIF('прогноз на 20.05.12'!$C$7:$C$83,$I36,'прогноз на 20.05.12'!H$7:H$83)+SUMIF('прогноз на 20.05.12'!$C$7:$C$83,$K36,'прогноз на 20.05.12'!H$7:H$83)</f>
        <v>4</v>
      </c>
      <c r="Q36" s="41">
        <f>SUMIF('прогноз на 20.05.12'!$C$7:$C$83,$C36,'прогноз на 20.05.12'!I$7:I$83)+SUMIF('прогноз на 20.05.12'!$C$7:$C$83,$E36,'прогноз на 20.05.12'!I$7:I$83)+SUMIF('прогноз на 20.05.12'!$C$7:$C$83,$G36,'прогноз на 20.05.12'!I$7:I$83)+SUMIF('прогноз на 20.05.12'!$C$7:$C$83,$I36,'прогноз на 20.05.12'!I$7:I$83)+SUMIF('прогноз на 20.05.12'!$C$7:$C$83,$K36,'прогноз на 20.05.12'!I$7:I$83)</f>
        <v>5</v>
      </c>
      <c r="R36" s="41">
        <f>SUMIF('прогноз на 20.05.12'!$C$7:$C$83,$C36,'прогноз на 20.05.12'!J$7:J$83)+SUMIF('прогноз на 20.05.12'!$C$7:$C$83,$E36,'прогноз на 20.05.12'!J$7:J$83)+SUMIF('прогноз на 20.05.12'!$C$7:$C$83,$G36,'прогноз на 20.05.12'!J$7:J$83)+SUMIF('прогноз на 20.05.12'!$C$7:$C$83,$I36,'прогноз на 20.05.12'!J$7:J$83)+SUMIF('прогноз на 20.05.12'!$C$7:$C$83,$K36,'прогноз на 20.05.12'!J$7:J$83)</f>
        <v>2</v>
      </c>
      <c r="S36" s="45">
        <f t="shared" si="14"/>
        <v>11</v>
      </c>
      <c r="T36" s="41">
        <f>SUMIF('прогноз на 20.05.12'!$C$7:$C$83,$C36,'прогноз на 20.05.12'!L$7:L$83)+SUMIF('прогноз на 20.05.12'!$C$7:$C$83,$E36,'прогноз на 20.05.12'!L$7:L$83)+SUMIF('прогноз на 20.05.12'!$C$7:$C$83,$G36,'прогноз на 20.05.12'!L$7:L$83)+SUMIF('прогноз на 20.05.12'!$C$7:$C$83,$I36,'прогноз на 20.05.12'!L$7:L$83)+SUMIF('прогноз на 20.05.12'!$C$7:$C$83,$K36,'прогноз на 20.05.12'!L$7:L$83)</f>
        <v>0</v>
      </c>
      <c r="U36" s="41">
        <f>SUMIF('прогноз на 20.05.12'!$C$7:$C$83,$C36,'прогноз на 20.05.12'!M$7:M$83)+SUMIF('прогноз на 20.05.12'!$C$7:$C$83,$E36,'прогноз на 20.05.12'!M$7:M$83)+SUMIF('прогноз на 20.05.12'!$C$7:$C$83,$G36,'прогноз на 20.05.12'!M$7:M$83)+SUMIF('прогноз на 20.05.12'!$C$7:$C$83,$I36,'прогноз на 20.05.12'!M$7:M$83)+SUMIF('прогноз на 20.05.12'!$C$7:$C$83,$K36,'прогноз на 20.05.12'!M$7:M$83)</f>
        <v>0</v>
      </c>
      <c r="V36" s="41">
        <f>SUMIF('прогноз на 20.05.12'!$C$7:$C$83,$C36,'прогноз на 20.05.12'!N$7:N$83)+SUMIF('прогноз на 20.05.12'!$C$7:$C$83,$E36,'прогноз на 20.05.12'!N$7:N$83)+SUMIF('прогноз на 20.05.12'!$C$7:$C$83,$G36,'прогноз на 20.05.12'!N$7:N$83)+SUMIF('прогноз на 20.05.12'!$C$7:$C$83,$I36,'прогноз на 20.05.12'!N$7:N$83)+SUMIF('прогноз на 20.05.12'!$C$7:$C$83,$K36,'прогноз на 20.05.12'!N$7:N$83)</f>
        <v>0</v>
      </c>
      <c r="W36" s="45">
        <f t="shared" si="15"/>
        <v>0</v>
      </c>
      <c r="X36" s="41">
        <f>SUMIF('прогноз на 20.05.12'!$C$7:$C$83,$C36,'прогноз на 20.05.12'!P$7:P$83)+SUMIF('прогноз на 20.05.12'!$C$7:$C$83,$E36,'прогноз на 20.05.12'!P$7:P$83)+SUMIF('прогноз на 20.05.12'!$C$7:$C$83,$G36,'прогноз на 20.05.12'!P$7:P$83)+SUMIF('прогноз на 20.05.12'!$C$7:$C$83,$I36,'прогноз на 20.05.12'!P$7:P$83)+SUMIF('прогноз на 20.05.12'!$C$7:$C$83,$K36,'прогноз на 20.05.12'!P$7:P$83)</f>
        <v>0</v>
      </c>
      <c r="Y36" s="41">
        <f>SUMIF('прогноз на 20.05.12'!$C$7:$C$83,$C36,'прогноз на 20.05.12'!Q$7:Q$83)+SUMIF('прогноз на 20.05.12'!$C$7:$C$83,$E36,'прогноз на 20.05.12'!Q$7:Q$83)+SUMIF('прогноз на 20.05.12'!$C$7:$C$83,$G36,'прогноз на 20.05.12'!Q$7:Q$83)+SUMIF('прогноз на 20.05.12'!$C$7:$C$83,$I36,'прогноз на 20.05.12'!Q$7:Q$83)+SUMIF('прогноз на 20.05.12'!$C$7:$C$83,$K36,'прогноз на 20.05.12'!Q$7:Q$83)</f>
        <v>0</v>
      </c>
      <c r="Z36" s="45"/>
      <c r="AA36" s="41">
        <f>SUMIF('прогноз на 20.05.12'!$C$7:$C$83,$C36,'прогноз на 20.05.12'!S$7:S$83)+SUMIF('прогноз на 20.05.12'!$C$7:$C$83,$E36,'прогноз на 20.05.12'!S$7:S$83)+SUMIF('прогноз на 20.05.12'!$C$7:$C$83,$G36,'прогноз на 20.05.12'!S$7:S$83)+SUMIF('прогноз на 20.05.12'!$C$7:$C$83,$I36,'прогноз на 20.05.12'!S$7:S$83)+SUMIF('прогноз на 20.05.12'!$C$7:$C$83,$K36,'прогноз на 20.05.12'!S$7:S$83)</f>
        <v>42</v>
      </c>
      <c r="AB36" s="41">
        <f>SUMIF('прогноз на 20.05.12'!$C$7:$C$83,$C36,'прогноз на 20.05.12'!T$7:T$83)+SUMIF('прогноз на 20.05.12'!$C$7:$C$83,$E36,'прогноз на 20.05.12'!T$7:T$83)+SUMIF('прогноз на 20.05.12'!$C$7:$C$83,$G36,'прогноз на 20.05.12'!T$7:T$83)+SUMIF('прогноз на 20.05.12'!$C$7:$C$83,$I36,'прогноз на 20.05.12'!T$7:T$83)+SUMIF('прогноз на 20.05.12'!$C$7:$C$83,$K36,'прогноз на 20.05.12'!T$7:T$83)</f>
        <v>70</v>
      </c>
      <c r="AC36" s="41">
        <f>SUMIF('прогноз на 20.05.12'!$C$7:$C$83,$C36,'прогноз на 20.05.12'!U$7:U$83)+SUMIF('прогноз на 20.05.12'!$C$7:$C$83,$E36,'прогноз на 20.05.12'!U$7:U$83)+SUMIF('прогноз на 20.05.12'!$C$7:$C$83,$G36,'прогноз на 20.05.12'!U$7:U$83)+SUMIF('прогноз на 20.05.12'!$C$7:$C$83,$I36,'прогноз на 20.05.12'!U$7:U$83)+SUMIF('прогноз на 20.05.12'!$C$7:$C$83,$K36,'прогноз на 20.05.12'!U$7:U$83)</f>
        <v>28</v>
      </c>
      <c r="AD36" s="41">
        <f>SUMIF('прогноз на 20.05.12'!$C$7:$C$83,$C36,'прогноз на 20.05.12'!V$7:V$83)+SUMIF('прогноз на 20.05.12'!$C$7:$C$83,$E36,'прогноз на 20.05.12'!V$7:V$83)+SUMIF('прогноз на 20.05.12'!$C$7:$C$83,$G36,'прогноз на 20.05.12'!V$7:V$83)+SUMIF('прогноз на 20.05.12'!$C$7:$C$83,$I36,'прогноз на 20.05.12'!V$7:V$83)+SUMIF('прогноз на 20.05.12'!$C$7:$C$83,$K36,'прогноз на 20.05.12'!V$7:V$83)</f>
        <v>140</v>
      </c>
      <c r="AE36" s="41">
        <f>SUMIF('прогноз на 20.05.12'!$C$7:$C$83,$C36,'прогноз на 20.05.12'!W$7:W$83)+SUMIF('прогноз на 20.05.12'!$C$7:$C$83,$E36,'прогноз на 20.05.12'!W$7:W$83)+SUMIF('прогноз на 20.05.12'!$C$7:$C$83,$G36,'прогноз на 20.05.12'!W$7:W$83)+SUMIF('прогноз на 20.05.12'!$C$7:$C$83,$I36,'прогноз на 20.05.12'!W$7:W$83)+SUMIF('прогноз на 20.05.12'!$C$7:$C$83,$K36,'прогноз на 20.05.12'!W$7:W$83)</f>
        <v>16</v>
      </c>
      <c r="AF36" s="41">
        <f>SUMIF('прогноз на 20.05.12'!$C$7:$C$83,$C36,'прогноз на 20.05.12'!X$7:X$83)+SUMIF('прогноз на 20.05.12'!$C$7:$C$83,$E36,'прогноз на 20.05.12'!X$7:X$83)+SUMIF('прогноз на 20.05.12'!$C$7:$C$83,$G36,'прогноз на 20.05.12'!X$7:X$83)+SUMIF('прогноз на 20.05.12'!$C$7:$C$83,$I36,'прогноз на 20.05.12'!X$7:X$83)+SUMIF('прогноз на 20.05.12'!$C$7:$C$83,$K36,'прогноз на 20.05.12'!X$7:X$83)</f>
        <v>33</v>
      </c>
      <c r="AG36" s="41">
        <f>SUMIF('прогноз на 20.05.12'!$C$7:$C$83,$C36,'прогноз на 20.05.12'!Y$7:Y$83)+SUMIF('прогноз на 20.05.12'!$C$7:$C$83,$E36,'прогноз на 20.05.12'!Y$7:Y$83)+SUMIF('прогноз на 20.05.12'!$C$7:$C$83,$G36,'прогноз на 20.05.12'!Y$7:Y$83)+SUMIF('прогноз на 20.05.12'!$C$7:$C$83,$I36,'прогноз на 20.05.12'!Y$7:Y$83)+SUMIF('прогноз на 20.05.12'!$C$7:$C$83,$K36,'прогноз на 20.05.12'!Y$7:Y$83)</f>
        <v>4</v>
      </c>
      <c r="AH36" s="41">
        <f>SUMIF('прогноз на 20.05.12'!$C$7:$C$83,$C36,'прогноз на 20.05.12'!Z$7:Z$83)+SUMIF('прогноз на 20.05.12'!$C$7:$C$83,$E36,'прогноз на 20.05.12'!Z$7:Z$83)+SUMIF('прогноз на 20.05.12'!$C$7:$C$83,$G36,'прогноз на 20.05.12'!Z$7:Z$83)+SUMIF('прогноз на 20.05.12'!$C$7:$C$83,$I36,'прогноз на 20.05.12'!Z$7:Z$83)+SUMIF('прогноз на 20.05.12'!$C$7:$C$83,$K36,'прогноз на 20.05.12'!Z$7:Z$83)</f>
        <v>53</v>
      </c>
      <c r="AI36" s="41">
        <f>SUMIF('прогноз на 20.05.12'!$C$7:$C$83,$C36,'прогноз на 20.05.12'!AA$7:AA$83)+SUMIF('прогноз на 20.05.12'!$C$7:$C$83,$E36,'прогноз на 20.05.12'!AA$7:AA$83)+SUMIF('прогноз на 20.05.12'!$C$7:$C$83,$G36,'прогноз на 20.05.12'!AA$7:AA$83)+SUMIF('прогноз на 20.05.12'!$C$7:$C$83,$I36,'прогноз на 20.05.12'!AA$7:AA$83)+SUMIF('прогноз на 20.05.12'!$C$7:$C$83,$K36,'прогноз на 20.05.12'!AA$7:AA$83)</f>
        <v>12</v>
      </c>
      <c r="AJ36" s="41">
        <f>SUMIF('прогноз на 20.05.12'!$C$7:$C$83,$C36,'прогноз на 20.05.12'!AB$7:AB$83)+SUMIF('прогноз на 20.05.12'!$C$7:$C$83,$E36,'прогноз на 20.05.12'!AB$7:AB$83)+SUMIF('прогноз на 20.05.12'!$C$7:$C$83,$G36,'прогноз на 20.05.12'!AB$7:AB$83)+SUMIF('прогноз на 20.05.12'!$C$7:$C$83,$I36,'прогноз на 20.05.12'!AB$7:AB$83)+SUMIF('прогноз на 20.05.12'!$C$7:$C$83,$K36,'прогноз на 20.05.12'!AB$7:AB$83)</f>
        <v>24.75</v>
      </c>
      <c r="AK36" s="41">
        <f>SUMIF('прогноз на 20.05.12'!$C$7:$C$83,$C36,'прогноз на 20.05.12'!AC$7:AC$83)+SUMIF('прогноз на 20.05.12'!$C$7:$C$83,$E36,'прогноз на 20.05.12'!AC$7:AC$83)+SUMIF('прогноз на 20.05.12'!$C$7:$C$83,$G36,'прогноз на 20.05.12'!AC$7:AC$83)+SUMIF('прогноз на 20.05.12'!$C$7:$C$83,$I36,'прогноз на 20.05.12'!AC$7:AC$83)+SUMIF('прогноз на 20.05.12'!$C$7:$C$83,$K36,'прогноз на 20.05.12'!AC$7:AC$83)</f>
        <v>3</v>
      </c>
      <c r="AL36" s="41">
        <f>SUMIF('прогноз на 20.05.12'!$C$7:$C$83,$C36,'прогноз на 20.05.12'!AD$7:AD$83)+SUMIF('прогноз на 20.05.12'!$C$7:$C$83,$E36,'прогноз на 20.05.12'!AD$7:AD$83)+SUMIF('прогноз на 20.05.12'!$C$7:$C$83,$G36,'прогноз на 20.05.12'!AD$7:AD$83)+SUMIF('прогноз на 20.05.12'!$C$7:$C$83,$I36,'прогноз на 20.05.12'!AD$7:AD$83)+SUMIF('прогноз на 20.05.12'!$C$7:$C$83,$K36,'прогноз на 20.05.12'!AD$7:AD$83)</f>
        <v>39.75</v>
      </c>
      <c r="AM36" s="41">
        <f>SUMIF('прогноз на 20.05.12'!$C$7:$C$83,$C36,'прогноз на 20.05.12'!AE$7:AE$83)+SUMIF('прогноз на 20.05.12'!$C$7:$C$83,$E36,'прогноз на 20.05.12'!AE$7:AE$83)+SUMIF('прогноз на 20.05.12'!$C$7:$C$83,$G36,'прогноз на 20.05.12'!AE$7:AE$83)+SUMIF('прогноз на 20.05.12'!$C$7:$C$83,$I36,'прогноз на 20.05.12'!AE$7:AE$83)+SUMIF('прогноз на 20.05.12'!$C$7:$C$83,$K36,'прогноз на 20.05.12'!AE$7:AE$83)</f>
        <v>38</v>
      </c>
      <c r="AN36" s="41">
        <f>SUMIF('прогноз на 20.05.12'!$C$7:$C$83,$C36,'прогноз на 20.05.12'!AF$7:AF$83)+SUMIF('прогноз на 20.05.12'!$C$7:$C$83,$E36,'прогноз на 20.05.12'!AF$7:AF$83)+SUMIF('прогноз на 20.05.12'!$C$7:$C$83,$G36,'прогноз на 20.05.12'!AF$7:AF$83)+SUMIF('прогноз на 20.05.12'!$C$7:$C$83,$I36,'прогноз на 20.05.12'!AF$7:AF$83)+SUMIF('прогноз на 20.05.12'!$C$7:$C$83,$K36,'прогноз на 20.05.12'!AF$7:AF$83)</f>
        <v>61.75</v>
      </c>
      <c r="AO36" s="41">
        <f>SUMIF('прогноз на 20.05.12'!$C$7:$C$83,$C36,'прогноз на 20.05.12'!AG$7:AG$83)+SUMIF('прогноз на 20.05.12'!$C$7:$C$83,$E36,'прогноз на 20.05.12'!AG$7:AG$83)+SUMIF('прогноз на 20.05.12'!$C$7:$C$83,$G36,'прогноз на 20.05.12'!AG$7:AG$83)+SUMIF('прогноз на 20.05.12'!$C$7:$C$83,$I36,'прогноз на 20.05.12'!AG$7:AG$83)+SUMIF('прогноз на 20.05.12'!$C$7:$C$83,$K36,'прогноз на 20.05.12'!AG$7:AG$83)</f>
        <v>27</v>
      </c>
      <c r="AP36" s="41">
        <f>SUMIF('прогноз на 20.05.12'!$C$7:$C$83,$C36,'прогноз на 20.05.12'!AH$7:AH$83)+SUMIF('прогноз на 20.05.12'!$C$7:$C$83,$E36,'прогноз на 20.05.12'!AH$7:AH$83)+SUMIF('прогноз на 20.05.12'!$C$7:$C$83,$G36,'прогноз на 20.05.12'!AH$7:AH$83)+SUMIF('прогноз на 20.05.12'!$C$7:$C$83,$I36,'прогноз на 20.05.12'!AH$7:AH$83)+SUMIF('прогноз на 20.05.12'!$C$7:$C$83,$K36,'прогноз на 20.05.12'!AH$7:AH$83)</f>
        <v>126.75</v>
      </c>
      <c r="AQ36" s="41">
        <f>SUMIF('прогноз на 20.05.12'!$C$7:$C$83,$C36,'прогноз на 20.05.12'!AM$7:AM$83)+SUMIF('прогноз на 20.05.12'!$C$7:$C$83,$E36,'прогноз на 20.05.12'!AM$7:AM$83)+SUMIF('прогноз на 20.05.12'!$C$7:$C$83,$G36,'прогноз на 20.05.12'!AM$7:AM$83)+SUMIF('прогноз на 20.05.12'!$C$7:$C$83,$I36,'прогноз на 20.05.12'!AM$7:AM$83)+SUMIF('прогноз на 20.05.12'!$C$7:$C$83,$K36,'прогноз на 20.05.12'!AM$7:AM$83)</f>
        <v>239484</v>
      </c>
      <c r="AR36" s="41">
        <f>SUMIF('прогноз на 20.05.12'!$C$7:$C$83,$C36,'прогноз на 20.05.12'!AN$7:AN$83)+SUMIF('прогноз на 20.05.12'!$C$7:$C$83,$E36,'прогноз на 20.05.12'!AN$7:AN$83)+SUMIF('прогноз на 20.05.12'!$C$7:$C$83,$G36,'прогноз на 20.05.12'!AN$7:AN$83)+SUMIF('прогноз на 20.05.12'!$C$7:$C$83,$I36,'прогноз на 20.05.12'!AN$7:AN$83)+SUMIF('прогноз на 20.05.12'!$C$7:$C$83,$K36,'прогноз на 20.05.12'!AN$7:AN$83)</f>
        <v>840980.25</v>
      </c>
      <c r="AS36" s="41">
        <f>SUMIF('прогноз на 20.05.12'!$C$7:$C$83,$C36,'прогноз на 20.05.12'!AO$7:AO$83)+SUMIF('прогноз на 20.05.12'!$C$7:$C$83,$E36,'прогноз на 20.05.12'!AO$7:AO$83)+SUMIF('прогноз на 20.05.12'!$C$7:$C$83,$G36,'прогноз на 20.05.12'!AO$7:AO$83)+SUMIF('прогноз на 20.05.12'!$C$7:$C$83,$I36,'прогноз на 20.05.12'!AO$7:AO$83)+SUMIF('прогноз на 20.05.12'!$C$7:$C$83,$K36,'прогноз на 20.05.12'!AO$7:AO$83)</f>
        <v>108861</v>
      </c>
      <c r="AT36" s="41">
        <f>SUMIF('прогноз на 20.05.12'!$C$7:$C$83,$C36,'прогноз на 20.05.12'!AP$7:AP$83)+SUMIF('прогноз на 20.05.12'!$C$7:$C$83,$E36,'прогноз на 20.05.12'!AP$7:AP$83)+SUMIF('прогноз на 20.05.12'!$C$7:$C$83,$G36,'прогноз на 20.05.12'!AP$7:AP$83)+SUMIF('прогноз на 20.05.12'!$C$7:$C$83,$I36,'прогноз на 20.05.12'!AP$7:AP$83)+SUMIF('прогноз на 20.05.12'!$C$7:$C$83,$K36,'прогноз на 20.05.12'!AP$7:AP$83)</f>
        <v>1189325.25</v>
      </c>
      <c r="AU36" s="41">
        <f>SUMIF('прогноз на 20.05.12'!$C$7:$C$83,$C36,'прогноз на 20.05.12'!AU$7:AU$83)+SUMIF('прогноз на 20.05.12'!$C$7:$C$83,$E36,'прогноз на 20.05.12'!AU$7:AU$83)+SUMIF('прогноз на 20.05.12'!$C$7:$C$83,$G36,'прогноз на 20.05.12'!AU$7:AU$83)+SUMIF('прогноз на 20.05.12'!$C$7:$C$83,$I36,'прогноз на 20.05.12'!AU$7:AU$83)+SUMIF('прогноз на 20.05.12'!$C$7:$C$83,$K36,'прогноз на 20.05.12'!AU$7:AU$83)</f>
        <v>15180</v>
      </c>
      <c r="AV36" s="41">
        <f>SUMIF('прогноз на 20.05.12'!$C$7:$C$83,$C36,'прогноз на 20.05.12'!AV$7:AV$83)+SUMIF('прогноз на 20.05.12'!$C$7:$C$83,$E36,'прогноз на 20.05.12'!AV$7:AV$83)+SUMIF('прогноз на 20.05.12'!$C$7:$C$83,$G36,'прогноз на 20.05.12'!AV$7:AV$83)+SUMIF('прогноз на 20.05.12'!$C$7:$C$83,$I36,'прогноз на 20.05.12'!AV$7:AV$83)+SUMIF('прогноз на 20.05.12'!$C$7:$C$83,$K36,'прогноз на 20.05.12'!AV$7:AV$83)</f>
        <v>35664.75</v>
      </c>
      <c r="AW36" s="41">
        <f>SUMIF('прогноз на 20.05.12'!$C$7:$C$83,$C36,'прогноз на 20.05.12'!AW$7:AW$83)+SUMIF('прогноз на 20.05.12'!$C$7:$C$83,$E36,'прогноз на 20.05.12'!AW$7:AW$83)+SUMIF('прогноз на 20.05.12'!$C$7:$C$83,$G36,'прогноз на 20.05.12'!AW$7:AW$83)+SUMIF('прогноз на 20.05.12'!$C$7:$C$83,$I36,'прогноз на 20.05.12'!AW$7:AW$83)+SUMIF('прогноз на 20.05.12'!$C$7:$C$83,$K36,'прогноз на 20.05.12'!AW$7:AW$83)</f>
        <v>5481</v>
      </c>
      <c r="AX36" s="41">
        <f>SUMIF('прогноз на 20.05.12'!$C$7:$C$83,$C36,'прогноз на 20.05.12'!AX$7:AX$83)+SUMIF('прогноз на 20.05.12'!$C$7:$C$83,$E36,'прогноз на 20.05.12'!AX$7:AX$83)+SUMIF('прогноз на 20.05.12'!$C$7:$C$83,$G36,'прогноз на 20.05.12'!AX$7:AX$83)+SUMIF('прогноз на 20.05.12'!$C$7:$C$83,$I36,'прогноз на 20.05.12'!AX$7:AX$83)+SUMIF('прогноз на 20.05.12'!$C$7:$C$83,$K36,'прогноз на 20.05.12'!AX$7:AX$83)</f>
        <v>56325.75</v>
      </c>
      <c r="AY36" s="41">
        <f>SUMIF('прогноз на 20.05.12'!$C$7:$C$83,$C36,'прогноз на 20.05.12'!AY$7:AY$83)+SUMIF('прогноз на 20.05.12'!$C$7:$C$83,$E36,'прогноз на 20.05.12'!AY$7:AY$83)+SUMIF('прогноз на 20.05.12'!$C$7:$C$83,$G36,'прогноз на 20.05.12'!AY$7:AY$83)+SUMIF('прогноз на 20.05.12'!$C$7:$C$83,$I36,'прогноз на 20.05.12'!AY$7:AY$83)+SUMIF('прогноз на 20.05.12'!$C$7:$C$83,$K36,'прогноз на 20.05.12'!AY$7:AY$83)</f>
        <v>254664</v>
      </c>
      <c r="AZ36" s="41">
        <f>SUMIF('прогноз на 20.05.12'!$C$7:$C$83,$C36,'прогноз на 20.05.12'!AZ$7:AZ$83)+SUMIF('прогноз на 20.05.12'!$C$7:$C$83,$E36,'прогноз на 20.05.12'!AZ$7:AZ$83)+SUMIF('прогноз на 20.05.12'!$C$7:$C$83,$G36,'прогноз на 20.05.12'!AZ$7:AZ$83)+SUMIF('прогноз на 20.05.12'!$C$7:$C$83,$I36,'прогноз на 20.05.12'!AZ$7:AZ$83)+SUMIF('прогноз на 20.05.12'!$C$7:$C$83,$K36,'прогноз на 20.05.12'!AZ$7:AZ$83)</f>
        <v>876645</v>
      </c>
      <c r="BA36" s="41">
        <f>SUMIF('прогноз на 20.05.12'!$C$7:$C$83,$C36,'прогноз на 20.05.12'!BA$7:BA$83)+SUMIF('прогноз на 20.05.12'!$C$7:$C$83,$E36,'прогноз на 20.05.12'!BA$7:BA$83)+SUMIF('прогноз на 20.05.12'!$C$7:$C$83,$G36,'прогноз на 20.05.12'!BA$7:BA$83)+SUMIF('прогноз на 20.05.12'!$C$7:$C$83,$I36,'прогноз на 20.05.12'!BA$7:BA$83)+SUMIF('прогноз на 20.05.12'!$C$7:$C$83,$K36,'прогноз на 20.05.12'!BA$7:BA$83)</f>
        <v>114342</v>
      </c>
      <c r="BB36" s="41">
        <f>SUMIF('прогноз на 20.05.12'!$C$7:$C$83,$C36,'прогноз на 20.05.12'!BB$7:BB$83)+SUMIF('прогноз на 20.05.12'!$C$7:$C$83,$E36,'прогноз на 20.05.12'!BB$7:BB$83)+SUMIF('прогноз на 20.05.12'!$C$7:$C$83,$G36,'прогноз на 20.05.12'!BB$7:BB$83)+SUMIF('прогноз на 20.05.12'!$C$7:$C$83,$I36,'прогноз на 20.05.12'!BB$7:BB$83)+SUMIF('прогноз на 20.05.12'!$C$7:$C$83,$K36,'прогноз на 20.05.12'!BB$7:BB$83)</f>
        <v>1245651</v>
      </c>
      <c r="BC36" s="41">
        <f>SUMIF('прогноз на 20.05.12'!$C$7:$C$83,$C36,'прогноз на 20.05.12'!BC$7:BC$83)+SUMIF('прогноз на 20.05.12'!$C$7:$C$83,$E36,'прогноз на 20.05.12'!BC$7:BC$83)+SUMIF('прогноз на 20.05.12'!$C$7:$C$83,$G36,'прогноз на 20.05.12'!BC$7:BC$83)+SUMIF('прогноз на 20.05.12'!$C$7:$C$83,$I36,'прогноз на 20.05.12'!BC$7:BC$83)+SUMIF('прогноз на 20.05.12'!$C$7:$C$83,$K36,'прогноз на 20.05.12'!BC$7:BC$83)</f>
        <v>1728176</v>
      </c>
      <c r="BD36" s="41">
        <f>SUMIF('прогноз на 20.05.12'!$C$7:$C$83,$C36,'прогноз на 20.05.12'!BD$7:BD$83)+SUMIF('прогноз на 20.05.12'!$C$7:$C$83,$E36,'прогноз на 20.05.12'!BD$7:BD$83)+SUMIF('прогноз на 20.05.12'!$C$7:$C$83,$G36,'прогноз на 20.05.12'!BD$7:BD$83)+SUMIF('прогноз на 20.05.12'!$C$7:$C$83,$I36,'прогноз на 20.05.12'!BD$7:BD$83)+SUMIF('прогноз на 20.05.12'!$C$7:$C$83,$K36,'прогноз на 20.05.12'!BD$7:BD$83)</f>
        <v>1728176</v>
      </c>
      <c r="BE36" s="41">
        <f>SUMIF('прогноз на 20.05.12'!$C$7:$C$83,$C36,'прогноз на 20.05.12'!BE$7:BE$83)+SUMIF('прогноз на 20.05.12'!$C$7:$C$83,$E36,'прогноз на 20.05.12'!BE$7:BE$83)+SUMIF('прогноз на 20.05.12'!$C$7:$C$83,$G36,'прогноз на 20.05.12'!BE$7:BE$83)+SUMIF('прогноз на 20.05.12'!$C$7:$C$83,$I36,'прогноз на 20.05.12'!BE$7:BE$83)+SUMIF('прогноз на 20.05.12'!$C$7:$C$83,$K36,'прогноз на 20.05.12'!BE$7:BE$83)</f>
        <v>0</v>
      </c>
      <c r="BF36" s="41">
        <f>SUMIF('прогноз на 20.05.12'!$C$7:$C$83,$C36,'прогноз на 20.05.12'!BF$7:BF$83)+SUMIF('прогноз на 20.05.12'!$C$7:$C$83,$E36,'прогноз на 20.05.12'!BF$7:BF$83)+SUMIF('прогноз на 20.05.12'!$C$7:$C$83,$G36,'прогноз на 20.05.12'!BF$7:BF$83)+SUMIF('прогноз на 20.05.12'!$C$7:$C$83,$I36,'прогноз на 20.05.12'!BF$7:BF$83)+SUMIF('прогноз на 20.05.12'!$C$7:$C$83,$K36,'прогноз на 20.05.12'!BF$7:BF$83)</f>
        <v>482525</v>
      </c>
      <c r="BG36" s="41">
        <f>SUMIF('прогноз на 20.05.12'!$C$7:$C$83,$C36,'прогноз на 20.05.12'!BG$7:BG$83)+SUMIF('прогноз на 20.05.12'!$C$7:$C$83,$E36,'прогноз на 20.05.12'!BG$7:BG$83)+SUMIF('прогноз на 20.05.12'!$C$7:$C$83,$G36,'прогноз на 20.05.12'!BG$7:BG$83)+SUMIF('прогноз на 20.05.12'!$C$7:$C$83,$I36,'прогноз на 20.05.12'!BG$7:BG$83)+SUMIF('прогноз на 20.05.12'!$C$7:$C$83,$K36,'прогноз на 20.05.12'!BG$7:BG$83)</f>
        <v>482525</v>
      </c>
      <c r="BH36" s="41">
        <f>SUMIF('прогноз на 20.05.12'!$C$7:$C$83,$C36,'прогноз на 20.05.12'!BH$7:BH$83)+SUMIF('прогноз на 20.05.12'!$C$7:$C$83,$E36,'прогноз на 20.05.12'!BH$7:BH$83)+SUMIF('прогноз на 20.05.12'!$C$7:$C$83,$G36,'прогноз на 20.05.12'!BH$7:BH$83)+SUMIF('прогноз на 20.05.12'!$C$7:$C$83,$I36,'прогноз на 20.05.12'!BH$7:BH$83)+SUMIF('прогноз на 20.05.12'!$C$7:$C$83,$K36,'прогноз на 20.05.12'!BH$7:BH$83)</f>
        <v>0</v>
      </c>
      <c r="BI36" s="90">
        <f t="shared" si="10"/>
        <v>6.5</v>
      </c>
      <c r="BJ36" s="90">
        <f t="shared" si="11"/>
        <v>7.4</v>
      </c>
      <c r="BK36" s="90">
        <f t="shared" si="12"/>
        <v>12</v>
      </c>
      <c r="BL36" s="90">
        <f t="shared" si="13"/>
        <v>7.9090909090909092</v>
      </c>
    </row>
    <row r="37" spans="1:64" s="59" customFormat="1" ht="18.75">
      <c r="A37" s="38">
        <v>31</v>
      </c>
      <c r="B37" s="39" t="s">
        <v>75</v>
      </c>
      <c r="C37" s="40" t="s">
        <v>250</v>
      </c>
      <c r="D37" s="56" t="s">
        <v>15</v>
      </c>
      <c r="E37" s="56" t="s">
        <v>193</v>
      </c>
      <c r="F37" s="56" t="s">
        <v>31</v>
      </c>
      <c r="G37" s="56" t="s">
        <v>229</v>
      </c>
      <c r="H37" s="58"/>
      <c r="I37" s="58"/>
      <c r="J37" s="58"/>
      <c r="K37" s="58"/>
      <c r="L37" s="41">
        <f>SUMIF('прогноз на 20.05.12'!$C$7:$C$83,$C37,'прогноз на 20.05.12'!D$7:D$83)+SUMIF('прогноз на 20.05.12'!$C$7:$C$83,$E37,'прогноз на 20.05.12'!D$7:D$83)+SUMIF('прогноз на 20.05.12'!$C$7:$C$83,$G37,'прогноз на 20.05.12'!D$7:D$83)+SUMIF('прогноз на 20.05.12'!$C$7:$C$83,$I37,'прогноз на 20.05.12'!D$7:D$83)+SUMIF('прогноз на 20.05.12'!$C$7:$C$83,$K37,'прогноз на 20.05.12'!D$7:D$83)</f>
        <v>30</v>
      </c>
      <c r="M37" s="41">
        <f>SUMIF('прогноз на 20.05.12'!$C$7:$C$83,$C37,'прогноз на 20.05.12'!E$7:E$83)+SUMIF('прогноз на 20.05.12'!$C$7:$C$83,$E37,'прогноз на 20.05.12'!E$7:E$83)+SUMIF('прогноз на 20.05.12'!$C$7:$C$83,$G37,'прогноз на 20.05.12'!E$7:E$83)+SUMIF('прогноз на 20.05.12'!$C$7:$C$83,$I37,'прогноз на 20.05.12'!E$7:E$83)+SUMIF('прогноз на 20.05.12'!$C$7:$C$83,$K37,'прогноз на 20.05.12'!E$7:E$83)</f>
        <v>82</v>
      </c>
      <c r="N37" s="41">
        <f>SUMIF('прогноз на 20.05.12'!$C$7:$C$83,$C37,'прогноз на 20.05.12'!F$7:F$83)+SUMIF('прогноз на 20.05.12'!$C$7:$C$83,$E37,'прогноз на 20.05.12'!F$7:F$83)+SUMIF('прогноз на 20.05.12'!$C$7:$C$83,$G37,'прогноз на 20.05.12'!F$7:F$83)+SUMIF('прогноз на 20.05.12'!$C$7:$C$83,$I37,'прогноз на 20.05.12'!F$7:F$83)+SUMIF('прогноз на 20.05.12'!$C$7:$C$83,$K37,'прогноз на 20.05.12'!F$7:F$83)</f>
        <v>30</v>
      </c>
      <c r="O37" s="44">
        <f t="shared" si="6"/>
        <v>142</v>
      </c>
      <c r="P37" s="41">
        <f>SUMIF('прогноз на 20.05.12'!$C$7:$C$83,$C37,'прогноз на 20.05.12'!H$7:H$83)+SUMIF('прогноз на 20.05.12'!$C$7:$C$83,$E37,'прогноз на 20.05.12'!H$7:H$83)+SUMIF('прогноз на 20.05.12'!$C$7:$C$83,$G37,'прогноз на 20.05.12'!H$7:H$83)+SUMIF('прогноз на 20.05.12'!$C$7:$C$83,$I37,'прогноз на 20.05.12'!H$7:H$83)+SUMIF('прогноз на 20.05.12'!$C$7:$C$83,$K37,'прогноз на 20.05.12'!H$7:H$83)</f>
        <v>6</v>
      </c>
      <c r="Q37" s="41">
        <f>SUMIF('прогноз на 20.05.12'!$C$7:$C$83,$C37,'прогноз на 20.05.12'!I$7:I$83)+SUMIF('прогноз на 20.05.12'!$C$7:$C$83,$E37,'прогноз на 20.05.12'!I$7:I$83)+SUMIF('прогноз на 20.05.12'!$C$7:$C$83,$G37,'прогноз на 20.05.12'!I$7:I$83)+SUMIF('прогноз на 20.05.12'!$C$7:$C$83,$I37,'прогноз на 20.05.12'!I$7:I$83)+SUMIF('прогноз на 20.05.12'!$C$7:$C$83,$K37,'прогноз на 20.05.12'!I$7:I$83)</f>
        <v>5</v>
      </c>
      <c r="R37" s="41">
        <f>SUMIF('прогноз на 20.05.12'!$C$7:$C$83,$C37,'прогноз на 20.05.12'!J$7:J$83)+SUMIF('прогноз на 20.05.12'!$C$7:$C$83,$E37,'прогноз на 20.05.12'!J$7:J$83)+SUMIF('прогноз на 20.05.12'!$C$7:$C$83,$G37,'прогноз на 20.05.12'!J$7:J$83)+SUMIF('прогноз на 20.05.12'!$C$7:$C$83,$I37,'прогноз на 20.05.12'!J$7:J$83)+SUMIF('прогноз на 20.05.12'!$C$7:$C$83,$K37,'прогноз на 20.05.12'!J$7:J$83)</f>
        <v>2</v>
      </c>
      <c r="S37" s="45">
        <f t="shared" si="14"/>
        <v>13</v>
      </c>
      <c r="T37" s="41">
        <f>SUMIF('прогноз на 20.05.12'!$C$7:$C$83,$C37,'прогноз на 20.05.12'!L$7:L$83)+SUMIF('прогноз на 20.05.12'!$C$7:$C$83,$E37,'прогноз на 20.05.12'!L$7:L$83)+SUMIF('прогноз на 20.05.12'!$C$7:$C$83,$G37,'прогноз на 20.05.12'!L$7:L$83)+SUMIF('прогноз на 20.05.12'!$C$7:$C$83,$I37,'прогноз на 20.05.12'!L$7:L$83)+SUMIF('прогноз на 20.05.12'!$C$7:$C$83,$K37,'прогноз на 20.05.12'!L$7:L$83)</f>
        <v>0</v>
      </c>
      <c r="U37" s="41">
        <f>SUMIF('прогноз на 20.05.12'!$C$7:$C$83,$C37,'прогноз на 20.05.12'!M$7:M$83)+SUMIF('прогноз на 20.05.12'!$C$7:$C$83,$E37,'прогноз на 20.05.12'!M$7:M$83)+SUMIF('прогноз на 20.05.12'!$C$7:$C$83,$G37,'прогноз на 20.05.12'!M$7:M$83)+SUMIF('прогноз на 20.05.12'!$C$7:$C$83,$I37,'прогноз на 20.05.12'!M$7:M$83)+SUMIF('прогноз на 20.05.12'!$C$7:$C$83,$K37,'прогноз на 20.05.12'!M$7:M$83)</f>
        <v>0</v>
      </c>
      <c r="V37" s="41">
        <f>SUMIF('прогноз на 20.05.12'!$C$7:$C$83,$C37,'прогноз на 20.05.12'!N$7:N$83)+SUMIF('прогноз на 20.05.12'!$C$7:$C$83,$E37,'прогноз на 20.05.12'!N$7:N$83)+SUMIF('прогноз на 20.05.12'!$C$7:$C$83,$G37,'прогноз на 20.05.12'!N$7:N$83)+SUMIF('прогноз на 20.05.12'!$C$7:$C$83,$I37,'прогноз на 20.05.12'!N$7:N$83)+SUMIF('прогноз на 20.05.12'!$C$7:$C$83,$K37,'прогноз на 20.05.12'!N$7:N$83)</f>
        <v>0</v>
      </c>
      <c r="W37" s="45">
        <f t="shared" si="15"/>
        <v>0</v>
      </c>
      <c r="X37" s="41">
        <f>SUMIF('прогноз на 20.05.12'!$C$7:$C$83,$C37,'прогноз на 20.05.12'!P$7:P$83)+SUMIF('прогноз на 20.05.12'!$C$7:$C$83,$E37,'прогноз на 20.05.12'!P$7:P$83)+SUMIF('прогноз на 20.05.12'!$C$7:$C$83,$G37,'прогноз на 20.05.12'!P$7:P$83)+SUMIF('прогноз на 20.05.12'!$C$7:$C$83,$I37,'прогноз на 20.05.12'!P$7:P$83)+SUMIF('прогноз на 20.05.12'!$C$7:$C$83,$K37,'прогноз на 20.05.12'!P$7:P$83)</f>
        <v>1</v>
      </c>
      <c r="Y37" s="41">
        <f>SUMIF('прогноз на 20.05.12'!$C$7:$C$83,$C37,'прогноз на 20.05.12'!Q$7:Q$83)+SUMIF('прогноз на 20.05.12'!$C$7:$C$83,$E37,'прогноз на 20.05.12'!Q$7:Q$83)+SUMIF('прогноз на 20.05.12'!$C$7:$C$83,$G37,'прогноз на 20.05.12'!Q$7:Q$83)+SUMIF('прогноз на 20.05.12'!$C$7:$C$83,$I37,'прогноз на 20.05.12'!Q$7:Q$83)+SUMIF('прогноз на 20.05.12'!$C$7:$C$83,$K37,'прогноз на 20.05.12'!Q$7:Q$83)</f>
        <v>20</v>
      </c>
      <c r="Z37" s="45"/>
      <c r="AA37" s="41">
        <f>SUMIF('прогноз на 20.05.12'!$C$7:$C$83,$C37,'прогноз на 20.05.12'!S$7:S$83)+SUMIF('прогноз на 20.05.12'!$C$7:$C$83,$E37,'прогноз на 20.05.12'!S$7:S$83)+SUMIF('прогноз на 20.05.12'!$C$7:$C$83,$G37,'прогноз на 20.05.12'!S$7:S$83)+SUMIF('прогноз на 20.05.12'!$C$7:$C$83,$I37,'прогноз на 20.05.12'!S$7:S$83)+SUMIF('прогноз на 20.05.12'!$C$7:$C$83,$K37,'прогноз на 20.05.12'!S$7:S$83)</f>
        <v>38</v>
      </c>
      <c r="AB37" s="41">
        <f>SUMIF('прогноз на 20.05.12'!$C$7:$C$83,$C37,'прогноз на 20.05.12'!T$7:T$83)+SUMIF('прогноз на 20.05.12'!$C$7:$C$83,$E37,'прогноз на 20.05.12'!T$7:T$83)+SUMIF('прогноз на 20.05.12'!$C$7:$C$83,$G37,'прогноз на 20.05.12'!T$7:T$83)+SUMIF('прогноз на 20.05.12'!$C$7:$C$83,$I37,'прогноз на 20.05.12'!T$7:T$83)+SUMIF('прогноз на 20.05.12'!$C$7:$C$83,$K37,'прогноз на 20.05.12'!T$7:T$83)</f>
        <v>70</v>
      </c>
      <c r="AC37" s="41">
        <f>SUMIF('прогноз на 20.05.12'!$C$7:$C$83,$C37,'прогноз на 20.05.12'!U$7:U$83)+SUMIF('прогноз на 20.05.12'!$C$7:$C$83,$E37,'прогноз на 20.05.12'!U$7:U$83)+SUMIF('прогноз на 20.05.12'!$C$7:$C$83,$G37,'прогноз на 20.05.12'!U$7:U$83)+SUMIF('прогноз на 20.05.12'!$C$7:$C$83,$I37,'прогноз на 20.05.12'!U$7:U$83)+SUMIF('прогноз на 20.05.12'!$C$7:$C$83,$K37,'прогноз на 20.05.12'!U$7:U$83)</f>
        <v>28</v>
      </c>
      <c r="AD37" s="41">
        <f>SUMIF('прогноз на 20.05.12'!$C$7:$C$83,$C37,'прогноз на 20.05.12'!V$7:V$83)+SUMIF('прогноз на 20.05.12'!$C$7:$C$83,$E37,'прогноз на 20.05.12'!V$7:V$83)+SUMIF('прогноз на 20.05.12'!$C$7:$C$83,$G37,'прогноз на 20.05.12'!V$7:V$83)+SUMIF('прогноз на 20.05.12'!$C$7:$C$83,$I37,'прогноз на 20.05.12'!V$7:V$83)+SUMIF('прогноз на 20.05.12'!$C$7:$C$83,$K37,'прогноз на 20.05.12'!V$7:V$83)</f>
        <v>136</v>
      </c>
      <c r="AE37" s="41">
        <f>SUMIF('прогноз на 20.05.12'!$C$7:$C$83,$C37,'прогноз на 20.05.12'!W$7:W$83)+SUMIF('прогноз на 20.05.12'!$C$7:$C$83,$E37,'прогноз на 20.05.12'!W$7:W$83)+SUMIF('прогноз на 20.05.12'!$C$7:$C$83,$G37,'прогноз на 20.05.12'!W$7:W$83)+SUMIF('прогноз на 20.05.12'!$C$7:$C$83,$I37,'прогноз на 20.05.12'!W$7:W$83)+SUMIF('прогноз на 20.05.12'!$C$7:$C$83,$K37,'прогноз на 20.05.12'!W$7:W$83)</f>
        <v>8</v>
      </c>
      <c r="AF37" s="41">
        <f>SUMIF('прогноз на 20.05.12'!$C$7:$C$83,$C37,'прогноз на 20.05.12'!X$7:X$83)+SUMIF('прогноз на 20.05.12'!$C$7:$C$83,$E37,'прогноз на 20.05.12'!X$7:X$83)+SUMIF('прогноз на 20.05.12'!$C$7:$C$83,$G37,'прогноз на 20.05.12'!X$7:X$83)+SUMIF('прогноз на 20.05.12'!$C$7:$C$83,$I37,'прогноз на 20.05.12'!X$7:X$83)+SUMIF('прогноз на 20.05.12'!$C$7:$C$83,$K37,'прогноз на 20.05.12'!X$7:X$83)</f>
        <v>-12</v>
      </c>
      <c r="AG37" s="41">
        <f>SUMIF('прогноз на 20.05.12'!$C$7:$C$83,$C37,'прогноз на 20.05.12'!Y$7:Y$83)+SUMIF('прогноз на 20.05.12'!$C$7:$C$83,$E37,'прогноз на 20.05.12'!Y$7:Y$83)+SUMIF('прогноз на 20.05.12'!$C$7:$C$83,$G37,'прогноз на 20.05.12'!Y$7:Y$83)+SUMIF('прогноз на 20.05.12'!$C$7:$C$83,$I37,'прогноз на 20.05.12'!Y$7:Y$83)+SUMIF('прогноз на 20.05.12'!$C$7:$C$83,$K37,'прогноз на 20.05.12'!Y$7:Y$83)</f>
        <v>-2</v>
      </c>
      <c r="AH37" s="41">
        <f>SUMIF('прогноз на 20.05.12'!$C$7:$C$83,$C37,'прогноз на 20.05.12'!Z$7:Z$83)+SUMIF('прогноз на 20.05.12'!$C$7:$C$83,$E37,'прогноз на 20.05.12'!Z$7:Z$83)+SUMIF('прогноз на 20.05.12'!$C$7:$C$83,$G37,'прогноз на 20.05.12'!Z$7:Z$83)+SUMIF('прогноз на 20.05.12'!$C$7:$C$83,$I37,'прогноз на 20.05.12'!Z$7:Z$83)+SUMIF('прогноз на 20.05.12'!$C$7:$C$83,$K37,'прогноз на 20.05.12'!Z$7:Z$83)</f>
        <v>-6</v>
      </c>
      <c r="AI37" s="41">
        <f>SUMIF('прогноз на 20.05.12'!$C$7:$C$83,$C37,'прогноз на 20.05.12'!AA$7:AA$83)+SUMIF('прогноз на 20.05.12'!$C$7:$C$83,$E37,'прогноз на 20.05.12'!AA$7:AA$83)+SUMIF('прогноз на 20.05.12'!$C$7:$C$83,$G37,'прогноз на 20.05.12'!AA$7:AA$83)+SUMIF('прогноз на 20.05.12'!$C$7:$C$83,$I37,'прогноз на 20.05.12'!AA$7:AA$83)+SUMIF('прогноз на 20.05.12'!$C$7:$C$83,$K37,'прогноз на 20.05.12'!AA$7:AA$83)</f>
        <v>6</v>
      </c>
      <c r="AJ37" s="41">
        <f>SUMIF('прогноз на 20.05.12'!$C$7:$C$83,$C37,'прогноз на 20.05.12'!AB$7:AB$83)+SUMIF('прогноз на 20.05.12'!$C$7:$C$83,$E37,'прогноз на 20.05.12'!AB$7:AB$83)+SUMIF('прогноз на 20.05.12'!$C$7:$C$83,$G37,'прогноз на 20.05.12'!AB$7:AB$83)+SUMIF('прогноз на 20.05.12'!$C$7:$C$83,$I37,'прогноз на 20.05.12'!AB$7:AB$83)+SUMIF('прогноз на 20.05.12'!$C$7:$C$83,$K37,'прогноз на 20.05.12'!AB$7:AB$83)</f>
        <v>2.4000000000000004</v>
      </c>
      <c r="AK37" s="41">
        <f>SUMIF('прогноз на 20.05.12'!$C$7:$C$83,$C37,'прогноз на 20.05.12'!AC$7:AC$83)+SUMIF('прогноз на 20.05.12'!$C$7:$C$83,$E37,'прогноз на 20.05.12'!AC$7:AC$83)+SUMIF('прогноз на 20.05.12'!$C$7:$C$83,$G37,'прогноз на 20.05.12'!AC$7:AC$83)+SUMIF('прогноз на 20.05.12'!$C$7:$C$83,$I37,'прогноз на 20.05.12'!AC$7:AC$83)+SUMIF('прогноз на 20.05.12'!$C$7:$C$83,$K37,'прогноз на 20.05.12'!AC$7:AC$83)</f>
        <v>0.4</v>
      </c>
      <c r="AL37" s="41">
        <f>SUMIF('прогноз на 20.05.12'!$C$7:$C$83,$C37,'прогноз на 20.05.12'!AD$7:AD$83)+SUMIF('прогноз на 20.05.12'!$C$7:$C$83,$E37,'прогноз на 20.05.12'!AD$7:AD$83)+SUMIF('прогноз на 20.05.12'!$C$7:$C$83,$G37,'прогноз на 20.05.12'!AD$7:AD$83)+SUMIF('прогноз на 20.05.12'!$C$7:$C$83,$I37,'прогноз на 20.05.12'!AD$7:AD$83)+SUMIF('прогноз на 20.05.12'!$C$7:$C$83,$K37,'прогноз на 20.05.12'!AD$7:AD$83)</f>
        <v>8.8000000000000007</v>
      </c>
      <c r="AM37" s="41">
        <f>SUMIF('прогноз на 20.05.12'!$C$7:$C$83,$C37,'прогноз на 20.05.12'!AE$7:AE$83)+SUMIF('прогноз на 20.05.12'!$C$7:$C$83,$E37,'прогноз на 20.05.12'!AE$7:AE$83)+SUMIF('прогноз на 20.05.12'!$C$7:$C$83,$G37,'прогноз на 20.05.12'!AE$7:AE$83)+SUMIF('прогноз на 20.05.12'!$C$7:$C$83,$I37,'прогноз на 20.05.12'!AE$7:AE$83)+SUMIF('прогноз на 20.05.12'!$C$7:$C$83,$K37,'прогноз на 20.05.12'!AE$7:AE$83)</f>
        <v>36</v>
      </c>
      <c r="AN37" s="41">
        <f>SUMIF('прогноз на 20.05.12'!$C$7:$C$83,$C37,'прогноз на 20.05.12'!AF$7:AF$83)+SUMIF('прогноз на 20.05.12'!$C$7:$C$83,$E37,'прогноз на 20.05.12'!AF$7:AF$83)+SUMIF('прогноз на 20.05.12'!$C$7:$C$83,$G37,'прогноз на 20.05.12'!AF$7:AF$83)+SUMIF('прогноз на 20.05.12'!$C$7:$C$83,$I37,'прогноз на 20.05.12'!AF$7:AF$83)+SUMIF('прогноз на 20.05.12'!$C$7:$C$83,$K37,'прогноз на 20.05.12'!AF$7:AF$83)</f>
        <v>84.4</v>
      </c>
      <c r="AO37" s="41">
        <f>SUMIF('прогноз на 20.05.12'!$C$7:$C$83,$C37,'прогноз на 20.05.12'!AG$7:AG$83)+SUMIF('прогноз на 20.05.12'!$C$7:$C$83,$E37,'прогноз на 20.05.12'!AG$7:AG$83)+SUMIF('прогноз на 20.05.12'!$C$7:$C$83,$G37,'прогноз на 20.05.12'!AG$7:AG$83)+SUMIF('прогноз на 20.05.12'!$C$7:$C$83,$I37,'прогноз на 20.05.12'!AG$7:AG$83)+SUMIF('прогноз на 20.05.12'!$C$7:$C$83,$K37,'прогноз на 20.05.12'!AG$7:AG$83)</f>
        <v>30.4</v>
      </c>
      <c r="AP37" s="41">
        <f>SUMIF('прогноз на 20.05.12'!$C$7:$C$83,$C37,'прогноз на 20.05.12'!AH$7:AH$83)+SUMIF('прогноз на 20.05.12'!$C$7:$C$83,$E37,'прогноз на 20.05.12'!AH$7:AH$83)+SUMIF('прогноз на 20.05.12'!$C$7:$C$83,$G37,'прогноз на 20.05.12'!AH$7:AH$83)+SUMIF('прогноз на 20.05.12'!$C$7:$C$83,$I37,'прогноз на 20.05.12'!AH$7:AH$83)+SUMIF('прогноз на 20.05.12'!$C$7:$C$83,$K37,'прогноз на 20.05.12'!AH$7:AH$83)</f>
        <v>150.80000000000001</v>
      </c>
      <c r="AQ37" s="41">
        <f>SUMIF('прогноз на 20.05.12'!$C$7:$C$83,$C37,'прогноз на 20.05.12'!AM$7:AM$83)+SUMIF('прогноз на 20.05.12'!$C$7:$C$83,$E37,'прогноз на 20.05.12'!AM$7:AM$83)+SUMIF('прогноз на 20.05.12'!$C$7:$C$83,$G37,'прогноз на 20.05.12'!AM$7:AM$83)+SUMIF('прогноз на 20.05.12'!$C$7:$C$83,$I37,'прогноз на 20.05.12'!AM$7:AM$83)+SUMIF('прогноз на 20.05.12'!$C$7:$C$83,$K37,'прогноз на 20.05.12'!AM$7:AM$83)</f>
        <v>119742</v>
      </c>
      <c r="AR37" s="41">
        <f>SUMIF('прогноз на 20.05.12'!$C$7:$C$83,$C37,'прогноз на 20.05.12'!AN$7:AN$83)+SUMIF('прогноз на 20.05.12'!$C$7:$C$83,$E37,'прогноз на 20.05.12'!AN$7:AN$83)+SUMIF('прогноз на 20.05.12'!$C$7:$C$83,$G37,'прогноз на 20.05.12'!AN$7:AN$83)+SUMIF('прогноз на 20.05.12'!$C$7:$C$83,$I37,'прогноз на 20.05.12'!AN$7:AN$83)+SUMIF('прогноз на 20.05.12'!$C$7:$C$83,$K37,'прогноз на 20.05.12'!AN$7:AN$83)</f>
        <v>81549.600000000006</v>
      </c>
      <c r="AS37" s="41">
        <f>SUMIF('прогноз на 20.05.12'!$C$7:$C$83,$C37,'прогноз на 20.05.12'!AO$7:AO$83)+SUMIF('прогноз на 20.05.12'!$C$7:$C$83,$E37,'прогноз на 20.05.12'!AO$7:AO$83)+SUMIF('прогноз на 20.05.12'!$C$7:$C$83,$G37,'прогноз на 20.05.12'!AO$7:AO$83)+SUMIF('прогноз на 20.05.12'!$C$7:$C$83,$I37,'прогноз на 20.05.12'!AO$7:AO$83)+SUMIF('прогноз на 20.05.12'!$C$7:$C$83,$K37,'прогноз на 20.05.12'!AO$7:AO$83)</f>
        <v>14514.800000000001</v>
      </c>
      <c r="AT37" s="41">
        <f>SUMIF('прогноз на 20.05.12'!$C$7:$C$83,$C37,'прогноз на 20.05.12'!AP$7:AP$83)+SUMIF('прогноз на 20.05.12'!$C$7:$C$83,$E37,'прогноз на 20.05.12'!AP$7:AP$83)+SUMIF('прогноз на 20.05.12'!$C$7:$C$83,$G37,'прогноз на 20.05.12'!AP$7:AP$83)+SUMIF('прогноз на 20.05.12'!$C$7:$C$83,$I37,'прогноз на 20.05.12'!AP$7:AP$83)+SUMIF('прогноз на 20.05.12'!$C$7:$C$83,$K37,'прогноз на 20.05.12'!AP$7:AP$83)</f>
        <v>215806.4</v>
      </c>
      <c r="AU37" s="41">
        <f>SUMIF('прогноз на 20.05.12'!$C$7:$C$83,$C37,'прогноз на 20.05.12'!AU$7:AU$83)+SUMIF('прогноз на 20.05.12'!$C$7:$C$83,$E37,'прогноз на 20.05.12'!AU$7:AU$83)+SUMIF('прогноз на 20.05.12'!$C$7:$C$83,$G37,'прогноз на 20.05.12'!AU$7:AU$83)+SUMIF('прогноз на 20.05.12'!$C$7:$C$83,$I37,'прогноз на 20.05.12'!AU$7:AU$83)+SUMIF('прогноз на 20.05.12'!$C$7:$C$83,$K37,'прогноз на 20.05.12'!AU$7:AU$83)</f>
        <v>7590</v>
      </c>
      <c r="AV37" s="41">
        <f>SUMIF('прогноз на 20.05.12'!$C$7:$C$83,$C37,'прогноз на 20.05.12'!AV$7:AV$83)+SUMIF('прогноз на 20.05.12'!$C$7:$C$83,$E37,'прогноз на 20.05.12'!AV$7:AV$83)+SUMIF('прогноз на 20.05.12'!$C$7:$C$83,$G37,'прогноз на 20.05.12'!AV$7:AV$83)+SUMIF('прогноз на 20.05.12'!$C$7:$C$83,$I37,'прогноз на 20.05.12'!AV$7:AV$83)+SUMIF('прогноз на 20.05.12'!$C$7:$C$83,$K37,'прогноз на 20.05.12'!AV$7:AV$83)</f>
        <v>3458.4000000000005</v>
      </c>
      <c r="AW37" s="41">
        <f>SUMIF('прогноз на 20.05.12'!$C$7:$C$83,$C37,'прогноз на 20.05.12'!AW$7:AW$83)+SUMIF('прогноз на 20.05.12'!$C$7:$C$83,$E37,'прогноз на 20.05.12'!AW$7:AW$83)+SUMIF('прогноз на 20.05.12'!$C$7:$C$83,$G37,'прогноз на 20.05.12'!AW$7:AW$83)+SUMIF('прогноз на 20.05.12'!$C$7:$C$83,$I37,'прогноз на 20.05.12'!AW$7:AW$83)+SUMIF('прогноз на 20.05.12'!$C$7:$C$83,$K37,'прогноз на 20.05.12'!AW$7:AW$83)</f>
        <v>730.80000000000007</v>
      </c>
      <c r="AX37" s="41">
        <f>SUMIF('прогноз на 20.05.12'!$C$7:$C$83,$C37,'прогноз на 20.05.12'!AX$7:AX$83)+SUMIF('прогноз на 20.05.12'!$C$7:$C$83,$E37,'прогноз на 20.05.12'!AX$7:AX$83)+SUMIF('прогноз на 20.05.12'!$C$7:$C$83,$G37,'прогноз на 20.05.12'!AX$7:AX$83)+SUMIF('прогноз на 20.05.12'!$C$7:$C$83,$I37,'прогноз на 20.05.12'!AX$7:AX$83)+SUMIF('прогноз на 20.05.12'!$C$7:$C$83,$K37,'прогноз на 20.05.12'!AX$7:AX$83)</f>
        <v>11779.2</v>
      </c>
      <c r="AY37" s="41">
        <f>SUMIF('прогноз на 20.05.12'!$C$7:$C$83,$C37,'прогноз на 20.05.12'!AY$7:AY$83)+SUMIF('прогноз на 20.05.12'!$C$7:$C$83,$E37,'прогноз на 20.05.12'!AY$7:AY$83)+SUMIF('прогноз на 20.05.12'!$C$7:$C$83,$G37,'прогноз на 20.05.12'!AY$7:AY$83)+SUMIF('прогноз на 20.05.12'!$C$7:$C$83,$I37,'прогноз на 20.05.12'!AY$7:AY$83)+SUMIF('прогноз на 20.05.12'!$C$7:$C$83,$K37,'прогноз на 20.05.12'!AY$7:AY$83)</f>
        <v>127332</v>
      </c>
      <c r="AZ37" s="41">
        <f>SUMIF('прогноз на 20.05.12'!$C$7:$C$83,$C37,'прогноз на 20.05.12'!AZ$7:AZ$83)+SUMIF('прогноз на 20.05.12'!$C$7:$C$83,$E37,'прогноз на 20.05.12'!AZ$7:AZ$83)+SUMIF('прогноз на 20.05.12'!$C$7:$C$83,$G37,'прогноз на 20.05.12'!AZ$7:AZ$83)+SUMIF('прогноз на 20.05.12'!$C$7:$C$83,$I37,'прогноз на 20.05.12'!AZ$7:AZ$83)+SUMIF('прогноз на 20.05.12'!$C$7:$C$83,$K37,'прогноз на 20.05.12'!AZ$7:AZ$83)</f>
        <v>85008</v>
      </c>
      <c r="BA37" s="41">
        <f>SUMIF('прогноз на 20.05.12'!$C$7:$C$83,$C37,'прогноз на 20.05.12'!BA$7:BA$83)+SUMIF('прогноз на 20.05.12'!$C$7:$C$83,$E37,'прогноз на 20.05.12'!BA$7:BA$83)+SUMIF('прогноз на 20.05.12'!$C$7:$C$83,$G37,'прогноз на 20.05.12'!BA$7:BA$83)+SUMIF('прогноз на 20.05.12'!$C$7:$C$83,$I37,'прогноз на 20.05.12'!BA$7:BA$83)+SUMIF('прогноз на 20.05.12'!$C$7:$C$83,$K37,'прогноз на 20.05.12'!BA$7:BA$83)</f>
        <v>15245.6</v>
      </c>
      <c r="BB37" s="41">
        <f>SUMIF('прогноз на 20.05.12'!$C$7:$C$83,$C37,'прогноз на 20.05.12'!BB$7:BB$83)+SUMIF('прогноз на 20.05.12'!$C$7:$C$83,$E37,'прогноз на 20.05.12'!BB$7:BB$83)+SUMIF('прогноз на 20.05.12'!$C$7:$C$83,$G37,'прогноз на 20.05.12'!BB$7:BB$83)+SUMIF('прогноз на 20.05.12'!$C$7:$C$83,$I37,'прогноз на 20.05.12'!BB$7:BB$83)+SUMIF('прогноз на 20.05.12'!$C$7:$C$83,$K37,'прогноз на 20.05.12'!BB$7:BB$83)</f>
        <v>227585.6</v>
      </c>
      <c r="BC37" s="41">
        <f>SUMIF('прогноз на 20.05.12'!$C$7:$C$83,$C37,'прогноз на 20.05.12'!BC$7:BC$83)+SUMIF('прогноз на 20.05.12'!$C$7:$C$83,$E37,'прогноз на 20.05.12'!BC$7:BC$83)+SUMIF('прогноз на 20.05.12'!$C$7:$C$83,$G37,'прогноз на 20.05.12'!BC$7:BC$83)+SUMIF('прогноз на 20.05.12'!$C$7:$C$83,$I37,'прогноз на 20.05.12'!BC$7:BC$83)+SUMIF('прогноз на 20.05.12'!$C$7:$C$83,$K37,'прогноз на 20.05.12'!BC$7:BC$83)</f>
        <v>453881</v>
      </c>
      <c r="BD37" s="41">
        <f>SUMIF('прогноз на 20.05.12'!$C$7:$C$83,$C37,'прогноз на 20.05.12'!BD$7:BD$83)+SUMIF('прогноз на 20.05.12'!$C$7:$C$83,$E37,'прогноз на 20.05.12'!BD$7:BD$83)+SUMIF('прогноз на 20.05.12'!$C$7:$C$83,$G37,'прогноз на 20.05.12'!BD$7:BD$83)+SUMIF('прогноз на 20.05.12'!$C$7:$C$83,$I37,'прогноз на 20.05.12'!BD$7:BD$83)+SUMIF('прогноз на 20.05.12'!$C$7:$C$83,$K37,'прогноз на 20.05.12'!BD$7:BD$83)</f>
        <v>527334</v>
      </c>
      <c r="BE37" s="41">
        <f>SUMIF('прогноз на 20.05.12'!$C$7:$C$83,$C37,'прогноз на 20.05.12'!BE$7:BE$83)+SUMIF('прогноз на 20.05.12'!$C$7:$C$83,$E37,'прогноз на 20.05.12'!BE$7:BE$83)+SUMIF('прогноз на 20.05.12'!$C$7:$C$83,$G37,'прогноз на 20.05.12'!BE$7:BE$83)+SUMIF('прогноз на 20.05.12'!$C$7:$C$83,$I37,'прогноз на 20.05.12'!BE$7:BE$83)+SUMIF('прогноз на 20.05.12'!$C$7:$C$83,$K37,'прогноз на 20.05.12'!BE$7:BE$83)</f>
        <v>-73453</v>
      </c>
      <c r="BF37" s="41">
        <f>SUMIF('прогноз на 20.05.12'!$C$7:$C$83,$C37,'прогноз на 20.05.12'!BF$7:BF$83)+SUMIF('прогноз на 20.05.12'!$C$7:$C$83,$E37,'прогноз на 20.05.12'!BF$7:BF$83)+SUMIF('прогноз на 20.05.12'!$C$7:$C$83,$G37,'прогноз на 20.05.12'!BF$7:BF$83)+SUMIF('прогноз на 20.05.12'!$C$7:$C$83,$I37,'прогноз на 20.05.12'!BF$7:BF$83)+SUMIF('прогноз на 20.05.12'!$C$7:$C$83,$K37,'прогноз на 20.05.12'!BF$7:BF$83)</f>
        <v>226295.40000000002</v>
      </c>
      <c r="BG37" s="41">
        <f>SUMIF('прогноз на 20.05.12'!$C$7:$C$83,$C37,'прогноз на 20.05.12'!BG$7:BG$83)+SUMIF('прогноз на 20.05.12'!$C$7:$C$83,$E37,'прогноз на 20.05.12'!BG$7:BG$83)+SUMIF('прогноз на 20.05.12'!$C$7:$C$83,$G37,'прогноз на 20.05.12'!BG$7:BG$83)+SUMIF('прогноз на 20.05.12'!$C$7:$C$83,$I37,'прогноз на 20.05.12'!BG$7:BG$83)+SUMIF('прогноз на 20.05.12'!$C$7:$C$83,$K37,'прогноз на 20.05.12'!BG$7:BG$83)</f>
        <v>299748.40000000002</v>
      </c>
      <c r="BH37" s="41">
        <f>SUMIF('прогноз на 20.05.12'!$C$7:$C$83,$C37,'прогноз на 20.05.12'!BH$7:BH$83)+SUMIF('прогноз на 20.05.12'!$C$7:$C$83,$E37,'прогноз на 20.05.12'!BH$7:BH$83)+SUMIF('прогноз на 20.05.12'!$C$7:$C$83,$G37,'прогноз на 20.05.12'!BH$7:BH$83)+SUMIF('прогноз на 20.05.12'!$C$7:$C$83,$I37,'прогноз на 20.05.12'!BH$7:BH$83)+SUMIF('прогноз на 20.05.12'!$C$7:$C$83,$K37,'прогноз на 20.05.12'!BH$7:BH$83)</f>
        <v>-73453</v>
      </c>
      <c r="BI37" s="90">
        <f t="shared" si="10"/>
        <v>5</v>
      </c>
      <c r="BJ37" s="90">
        <f t="shared" si="11"/>
        <v>16.399999999999999</v>
      </c>
      <c r="BK37" s="90">
        <f t="shared" si="12"/>
        <v>15</v>
      </c>
      <c r="BL37" s="90">
        <f t="shared" si="13"/>
        <v>10.923076923076923</v>
      </c>
    </row>
    <row r="38" spans="1:64" s="59" customFormat="1" ht="18.75">
      <c r="A38" s="38">
        <v>32</v>
      </c>
      <c r="B38" s="39" t="s">
        <v>76</v>
      </c>
      <c r="C38" s="40" t="s">
        <v>252</v>
      </c>
      <c r="D38" s="56" t="s">
        <v>9</v>
      </c>
      <c r="E38" s="56" t="s">
        <v>188</v>
      </c>
      <c r="F38" s="58"/>
      <c r="G38" s="58"/>
      <c r="H38" s="58"/>
      <c r="I38" s="58"/>
      <c r="J38" s="58"/>
      <c r="K38" s="58"/>
      <c r="L38" s="41">
        <f>SUMIF('прогноз на 20.05.12'!$C$7:$C$83,$C38,'прогноз на 20.05.12'!D$7:D$83)+SUMIF('прогноз на 20.05.12'!$C$7:$C$83,$E38,'прогноз на 20.05.12'!D$7:D$83)+SUMIF('прогноз на 20.05.12'!$C$7:$C$83,$G38,'прогноз на 20.05.12'!D$7:D$83)+SUMIF('прогноз на 20.05.12'!$C$7:$C$83,$I38,'прогноз на 20.05.12'!D$7:D$83)+SUMIF('прогноз на 20.05.12'!$C$7:$C$83,$K38,'прогноз на 20.05.12'!D$7:D$83)</f>
        <v>70</v>
      </c>
      <c r="M38" s="41">
        <f>SUMIF('прогноз на 20.05.12'!$C$7:$C$83,$C38,'прогноз на 20.05.12'!E$7:E$83)+SUMIF('прогноз на 20.05.12'!$C$7:$C$83,$E38,'прогноз на 20.05.12'!E$7:E$83)+SUMIF('прогноз на 20.05.12'!$C$7:$C$83,$G38,'прогноз на 20.05.12'!E$7:E$83)+SUMIF('прогноз на 20.05.12'!$C$7:$C$83,$I38,'прогноз на 20.05.12'!E$7:E$83)+SUMIF('прогноз на 20.05.12'!$C$7:$C$83,$K38,'прогноз на 20.05.12'!E$7:E$83)</f>
        <v>84</v>
      </c>
      <c r="N38" s="41">
        <f>SUMIF('прогноз на 20.05.12'!$C$7:$C$83,$C38,'прогноз на 20.05.12'!F$7:F$83)+SUMIF('прогноз на 20.05.12'!$C$7:$C$83,$E38,'прогноз на 20.05.12'!F$7:F$83)+SUMIF('прогноз на 20.05.12'!$C$7:$C$83,$G38,'прогноз на 20.05.12'!F$7:F$83)+SUMIF('прогноз на 20.05.12'!$C$7:$C$83,$I38,'прогноз на 20.05.12'!F$7:F$83)+SUMIF('прогноз на 20.05.12'!$C$7:$C$83,$K38,'прогноз на 20.05.12'!F$7:F$83)</f>
        <v>33</v>
      </c>
      <c r="O38" s="44">
        <f t="shared" si="6"/>
        <v>187</v>
      </c>
      <c r="P38" s="41">
        <f>SUMIF('прогноз на 20.05.12'!$C$7:$C$83,$C38,'прогноз на 20.05.12'!H$7:H$83)+SUMIF('прогноз на 20.05.12'!$C$7:$C$83,$E38,'прогноз на 20.05.12'!H$7:H$83)+SUMIF('прогноз на 20.05.12'!$C$7:$C$83,$G38,'прогноз на 20.05.12'!H$7:H$83)+SUMIF('прогноз на 20.05.12'!$C$7:$C$83,$I38,'прогноз на 20.05.12'!H$7:H$83)+SUMIF('прогноз на 20.05.12'!$C$7:$C$83,$K38,'прогноз на 20.05.12'!H$7:H$83)</f>
        <v>7</v>
      </c>
      <c r="Q38" s="41">
        <f>SUMIF('прогноз на 20.05.12'!$C$7:$C$83,$C38,'прогноз на 20.05.12'!I$7:I$83)+SUMIF('прогноз на 20.05.12'!$C$7:$C$83,$E38,'прогноз на 20.05.12'!I$7:I$83)+SUMIF('прогноз на 20.05.12'!$C$7:$C$83,$G38,'прогноз на 20.05.12'!I$7:I$83)+SUMIF('прогноз на 20.05.12'!$C$7:$C$83,$I38,'прогноз на 20.05.12'!I$7:I$83)+SUMIF('прогноз на 20.05.12'!$C$7:$C$83,$K38,'прогноз на 20.05.12'!I$7:I$83)</f>
        <v>5</v>
      </c>
      <c r="R38" s="41">
        <f>SUMIF('прогноз на 20.05.12'!$C$7:$C$83,$C38,'прогноз на 20.05.12'!J$7:J$83)+SUMIF('прогноз на 20.05.12'!$C$7:$C$83,$E38,'прогноз на 20.05.12'!J$7:J$83)+SUMIF('прогноз на 20.05.12'!$C$7:$C$83,$G38,'прогноз на 20.05.12'!J$7:J$83)+SUMIF('прогноз на 20.05.12'!$C$7:$C$83,$I38,'прогноз на 20.05.12'!J$7:J$83)+SUMIF('прогноз на 20.05.12'!$C$7:$C$83,$K38,'прогноз на 20.05.12'!J$7:J$83)</f>
        <v>2</v>
      </c>
      <c r="S38" s="45">
        <f t="shared" si="14"/>
        <v>14</v>
      </c>
      <c r="T38" s="41">
        <f>SUMIF('прогноз на 20.05.12'!$C$7:$C$83,$C38,'прогноз на 20.05.12'!L$7:L$83)+SUMIF('прогноз на 20.05.12'!$C$7:$C$83,$E38,'прогноз на 20.05.12'!L$7:L$83)+SUMIF('прогноз на 20.05.12'!$C$7:$C$83,$G38,'прогноз на 20.05.12'!L$7:L$83)+SUMIF('прогноз на 20.05.12'!$C$7:$C$83,$I38,'прогноз на 20.05.12'!L$7:L$83)+SUMIF('прогноз на 20.05.12'!$C$7:$C$83,$K38,'прогноз на 20.05.12'!L$7:L$83)</f>
        <v>0</v>
      </c>
      <c r="U38" s="41">
        <f>SUMIF('прогноз на 20.05.12'!$C$7:$C$83,$C38,'прогноз на 20.05.12'!M$7:M$83)+SUMIF('прогноз на 20.05.12'!$C$7:$C$83,$E38,'прогноз на 20.05.12'!M$7:M$83)+SUMIF('прогноз на 20.05.12'!$C$7:$C$83,$G38,'прогноз на 20.05.12'!M$7:M$83)+SUMIF('прогноз на 20.05.12'!$C$7:$C$83,$I38,'прогноз на 20.05.12'!M$7:M$83)+SUMIF('прогноз на 20.05.12'!$C$7:$C$83,$K38,'прогноз на 20.05.12'!M$7:M$83)</f>
        <v>0</v>
      </c>
      <c r="V38" s="41">
        <f>SUMIF('прогноз на 20.05.12'!$C$7:$C$83,$C38,'прогноз на 20.05.12'!N$7:N$83)+SUMIF('прогноз на 20.05.12'!$C$7:$C$83,$E38,'прогноз на 20.05.12'!N$7:N$83)+SUMIF('прогноз на 20.05.12'!$C$7:$C$83,$G38,'прогноз на 20.05.12'!N$7:N$83)+SUMIF('прогноз на 20.05.12'!$C$7:$C$83,$I38,'прогноз на 20.05.12'!N$7:N$83)+SUMIF('прогноз на 20.05.12'!$C$7:$C$83,$K38,'прогноз на 20.05.12'!N$7:N$83)</f>
        <v>0</v>
      </c>
      <c r="W38" s="45">
        <f t="shared" si="15"/>
        <v>0</v>
      </c>
      <c r="X38" s="41">
        <f>SUMIF('прогноз на 20.05.12'!$C$7:$C$83,$C38,'прогноз на 20.05.12'!P$7:P$83)+SUMIF('прогноз на 20.05.12'!$C$7:$C$83,$E38,'прогноз на 20.05.12'!P$7:P$83)+SUMIF('прогноз на 20.05.12'!$C$7:$C$83,$G38,'прогноз на 20.05.12'!P$7:P$83)+SUMIF('прогноз на 20.05.12'!$C$7:$C$83,$I38,'прогноз на 20.05.12'!P$7:P$83)+SUMIF('прогноз на 20.05.12'!$C$7:$C$83,$K38,'прогноз на 20.05.12'!P$7:P$83)</f>
        <v>1</v>
      </c>
      <c r="Y38" s="41">
        <f>SUMIF('прогноз на 20.05.12'!$C$7:$C$83,$C38,'прогноз на 20.05.12'!Q$7:Q$83)+SUMIF('прогноз на 20.05.12'!$C$7:$C$83,$E38,'прогноз на 20.05.12'!Q$7:Q$83)+SUMIF('прогноз на 20.05.12'!$C$7:$C$83,$G38,'прогноз на 20.05.12'!Q$7:Q$83)+SUMIF('прогноз на 20.05.12'!$C$7:$C$83,$I38,'прогноз на 20.05.12'!Q$7:Q$83)+SUMIF('прогноз на 20.05.12'!$C$7:$C$83,$K38,'прогноз на 20.05.12'!Q$7:Q$83)</f>
        <v>25</v>
      </c>
      <c r="Z38" s="45"/>
      <c r="AA38" s="41">
        <f>SUMIF('прогноз на 20.05.12'!$C$7:$C$83,$C38,'прогноз на 20.05.12'!S$7:S$83)+SUMIF('прогноз на 20.05.12'!$C$7:$C$83,$E38,'прогноз на 20.05.12'!S$7:S$83)+SUMIF('прогноз на 20.05.12'!$C$7:$C$83,$G38,'прогноз на 20.05.12'!S$7:S$83)+SUMIF('прогноз на 20.05.12'!$C$7:$C$83,$I38,'прогноз на 20.05.12'!S$7:S$83)+SUMIF('прогноз на 20.05.12'!$C$7:$C$83,$K38,'прогноз на 20.05.12'!S$7:S$83)</f>
        <v>98</v>
      </c>
      <c r="AB38" s="41">
        <f>SUMIF('прогноз на 20.05.12'!$C$7:$C$83,$C38,'прогноз на 20.05.12'!T$7:T$83)+SUMIF('прогноз на 20.05.12'!$C$7:$C$83,$E38,'прогноз на 20.05.12'!T$7:T$83)+SUMIF('прогноз на 20.05.12'!$C$7:$C$83,$G38,'прогноз на 20.05.12'!T$7:T$83)+SUMIF('прогноз на 20.05.12'!$C$7:$C$83,$I38,'прогноз на 20.05.12'!T$7:T$83)+SUMIF('прогноз на 20.05.12'!$C$7:$C$83,$K38,'прогноз на 20.05.12'!T$7:T$83)</f>
        <v>70</v>
      </c>
      <c r="AC38" s="41">
        <f>SUMIF('прогноз на 20.05.12'!$C$7:$C$83,$C38,'прогноз на 20.05.12'!U$7:U$83)+SUMIF('прогноз на 20.05.12'!$C$7:$C$83,$E38,'прогноз на 20.05.12'!U$7:U$83)+SUMIF('прогноз на 20.05.12'!$C$7:$C$83,$G38,'прогноз на 20.05.12'!U$7:U$83)+SUMIF('прогноз на 20.05.12'!$C$7:$C$83,$I38,'прогноз на 20.05.12'!U$7:U$83)+SUMIF('прогноз на 20.05.12'!$C$7:$C$83,$K38,'прогноз на 20.05.12'!U$7:U$83)</f>
        <v>28</v>
      </c>
      <c r="AD38" s="41">
        <f>SUMIF('прогноз на 20.05.12'!$C$7:$C$83,$C38,'прогноз на 20.05.12'!V$7:V$83)+SUMIF('прогноз на 20.05.12'!$C$7:$C$83,$E38,'прогноз на 20.05.12'!V$7:V$83)+SUMIF('прогноз на 20.05.12'!$C$7:$C$83,$G38,'прогноз на 20.05.12'!V$7:V$83)+SUMIF('прогноз на 20.05.12'!$C$7:$C$83,$I38,'прогноз на 20.05.12'!V$7:V$83)+SUMIF('прогноз на 20.05.12'!$C$7:$C$83,$K38,'прогноз на 20.05.12'!V$7:V$83)</f>
        <v>196</v>
      </c>
      <c r="AE38" s="41">
        <f>SUMIF('прогноз на 20.05.12'!$C$7:$C$83,$C38,'прогноз на 20.05.12'!W$7:W$83)+SUMIF('прогноз на 20.05.12'!$C$7:$C$83,$E38,'прогноз на 20.05.12'!W$7:W$83)+SUMIF('прогноз на 20.05.12'!$C$7:$C$83,$G38,'прогноз на 20.05.12'!W$7:W$83)+SUMIF('прогноз на 20.05.12'!$C$7:$C$83,$I38,'прогноз на 20.05.12'!W$7:W$83)+SUMIF('прогноз на 20.05.12'!$C$7:$C$83,$K38,'прогноз на 20.05.12'!W$7:W$83)</f>
        <v>28</v>
      </c>
      <c r="AF38" s="41">
        <f>SUMIF('прогноз на 20.05.12'!$C$7:$C$83,$C38,'прогноз на 20.05.12'!X$7:X$83)+SUMIF('прогноз на 20.05.12'!$C$7:$C$83,$E38,'прогноз на 20.05.12'!X$7:X$83)+SUMIF('прогноз на 20.05.12'!$C$7:$C$83,$G38,'прогноз на 20.05.12'!X$7:X$83)+SUMIF('прогноз на 20.05.12'!$C$7:$C$83,$I38,'прогноз на 20.05.12'!X$7:X$83)+SUMIF('прогноз на 20.05.12'!$C$7:$C$83,$K38,'прогноз на 20.05.12'!X$7:X$83)</f>
        <v>-14</v>
      </c>
      <c r="AG38" s="41">
        <f>SUMIF('прогноз на 20.05.12'!$C$7:$C$83,$C38,'прогноз на 20.05.12'!Y$7:Y$83)+SUMIF('прогноз на 20.05.12'!$C$7:$C$83,$E38,'прогноз на 20.05.12'!Y$7:Y$83)+SUMIF('прогноз на 20.05.12'!$C$7:$C$83,$G38,'прогноз на 20.05.12'!Y$7:Y$83)+SUMIF('прогноз на 20.05.12'!$C$7:$C$83,$I38,'прогноз на 20.05.12'!Y$7:Y$83)+SUMIF('прогноз на 20.05.12'!$C$7:$C$83,$K38,'прогноз на 20.05.12'!Y$7:Y$83)</f>
        <v>-5</v>
      </c>
      <c r="AH38" s="41">
        <f>SUMIF('прогноз на 20.05.12'!$C$7:$C$83,$C38,'прогноз на 20.05.12'!Z$7:Z$83)+SUMIF('прогноз на 20.05.12'!$C$7:$C$83,$E38,'прогноз на 20.05.12'!Z$7:Z$83)+SUMIF('прогноз на 20.05.12'!$C$7:$C$83,$G38,'прогноз на 20.05.12'!Z$7:Z$83)+SUMIF('прогноз на 20.05.12'!$C$7:$C$83,$I38,'прогноз на 20.05.12'!Z$7:Z$83)+SUMIF('прогноз на 20.05.12'!$C$7:$C$83,$K38,'прогноз на 20.05.12'!Z$7:Z$83)</f>
        <v>9</v>
      </c>
      <c r="AI38" s="41">
        <f>SUMIF('прогноз на 20.05.12'!$C$7:$C$83,$C38,'прогноз на 20.05.12'!AA$7:AA$83)+SUMIF('прогноз на 20.05.12'!$C$7:$C$83,$E38,'прогноз на 20.05.12'!AA$7:AA$83)+SUMIF('прогноз на 20.05.12'!$C$7:$C$83,$G38,'прогноз на 20.05.12'!AA$7:AA$83)+SUMIF('прогноз на 20.05.12'!$C$7:$C$83,$I38,'прогноз на 20.05.12'!AA$7:AA$83)+SUMIF('прогноз на 20.05.12'!$C$7:$C$83,$K38,'прогноз на 20.05.12'!AA$7:AA$83)</f>
        <v>21</v>
      </c>
      <c r="AJ38" s="41">
        <f>SUMIF('прогноз на 20.05.12'!$C$7:$C$83,$C38,'прогноз на 20.05.12'!AB$7:AB$83)+SUMIF('прогноз на 20.05.12'!$C$7:$C$83,$E38,'прогноз на 20.05.12'!AB$7:AB$83)+SUMIF('прогноз на 20.05.12'!$C$7:$C$83,$G38,'прогноз на 20.05.12'!AB$7:AB$83)+SUMIF('прогноз на 20.05.12'!$C$7:$C$83,$I38,'прогноз на 20.05.12'!AB$7:AB$83)+SUMIF('прогноз на 20.05.12'!$C$7:$C$83,$K38,'прогноз на 20.05.12'!AB$7:AB$83)</f>
        <v>2.8000000000000003</v>
      </c>
      <c r="AK38" s="41">
        <f>SUMIF('прогноз на 20.05.12'!$C$7:$C$83,$C38,'прогноз на 20.05.12'!AC$7:AC$83)+SUMIF('прогноз на 20.05.12'!$C$7:$C$83,$E38,'прогноз на 20.05.12'!AC$7:AC$83)+SUMIF('прогноз на 20.05.12'!$C$7:$C$83,$G38,'прогноз на 20.05.12'!AC$7:AC$83)+SUMIF('прогноз на 20.05.12'!$C$7:$C$83,$I38,'прогноз на 20.05.12'!AC$7:AC$83)+SUMIF('прогноз на 20.05.12'!$C$7:$C$83,$K38,'прогноз на 20.05.12'!AC$7:AC$83)</f>
        <v>1</v>
      </c>
      <c r="AL38" s="41">
        <f>SUMIF('прогноз на 20.05.12'!$C$7:$C$83,$C38,'прогноз на 20.05.12'!AD$7:AD$83)+SUMIF('прогноз на 20.05.12'!$C$7:$C$83,$E38,'прогноз на 20.05.12'!AD$7:AD$83)+SUMIF('прогноз на 20.05.12'!$C$7:$C$83,$G38,'прогноз на 20.05.12'!AD$7:AD$83)+SUMIF('прогноз на 20.05.12'!$C$7:$C$83,$I38,'прогноз на 20.05.12'!AD$7:AD$83)+SUMIF('прогноз на 20.05.12'!$C$7:$C$83,$K38,'прогноз на 20.05.12'!AD$7:AD$83)</f>
        <v>24.8</v>
      </c>
      <c r="AM38" s="41">
        <f>SUMIF('прогноз на 20.05.12'!$C$7:$C$83,$C38,'прогноз на 20.05.12'!AE$7:AE$83)+SUMIF('прогноз на 20.05.12'!$C$7:$C$83,$E38,'прогноз на 20.05.12'!AE$7:AE$83)+SUMIF('прогноз на 20.05.12'!$C$7:$C$83,$G38,'прогноз на 20.05.12'!AE$7:AE$83)+SUMIF('прогноз на 20.05.12'!$C$7:$C$83,$I38,'прогноз на 20.05.12'!AE$7:AE$83)+SUMIF('прогноз на 20.05.12'!$C$7:$C$83,$K38,'прогноз на 20.05.12'!AE$7:AE$83)</f>
        <v>91</v>
      </c>
      <c r="AN38" s="41">
        <f>SUMIF('прогноз на 20.05.12'!$C$7:$C$83,$C38,'прогноз на 20.05.12'!AF$7:AF$83)+SUMIF('прогноз на 20.05.12'!$C$7:$C$83,$E38,'прогноз на 20.05.12'!AF$7:AF$83)+SUMIF('прогноз на 20.05.12'!$C$7:$C$83,$G38,'прогноз на 20.05.12'!AF$7:AF$83)+SUMIF('прогноз на 20.05.12'!$C$7:$C$83,$I38,'прогноз на 20.05.12'!AF$7:AF$83)+SUMIF('прогноз на 20.05.12'!$C$7:$C$83,$K38,'прогноз на 20.05.12'!AF$7:AF$83)</f>
        <v>86.8</v>
      </c>
      <c r="AO38" s="41">
        <f>SUMIF('прогноз на 20.05.12'!$C$7:$C$83,$C38,'прогноз на 20.05.12'!AG$7:AG$83)+SUMIF('прогноз на 20.05.12'!$C$7:$C$83,$E38,'прогноз на 20.05.12'!AG$7:AG$83)+SUMIF('прогноз на 20.05.12'!$C$7:$C$83,$G38,'прогноз на 20.05.12'!AG$7:AG$83)+SUMIF('прогноз на 20.05.12'!$C$7:$C$83,$I38,'прогноз на 20.05.12'!AG$7:AG$83)+SUMIF('прогноз на 20.05.12'!$C$7:$C$83,$K38,'прогноз на 20.05.12'!AG$7:AG$83)</f>
        <v>34</v>
      </c>
      <c r="AP38" s="41">
        <f>SUMIF('прогноз на 20.05.12'!$C$7:$C$83,$C38,'прогноз на 20.05.12'!AH$7:AH$83)+SUMIF('прогноз на 20.05.12'!$C$7:$C$83,$E38,'прогноз на 20.05.12'!AH$7:AH$83)+SUMIF('прогноз на 20.05.12'!$C$7:$C$83,$G38,'прогноз на 20.05.12'!AH$7:AH$83)+SUMIF('прогноз на 20.05.12'!$C$7:$C$83,$I38,'прогноз на 20.05.12'!AH$7:AH$83)+SUMIF('прогноз на 20.05.12'!$C$7:$C$83,$K38,'прогноз на 20.05.12'!AH$7:AH$83)</f>
        <v>211.8</v>
      </c>
      <c r="AQ38" s="41">
        <f>SUMIF('прогноз на 20.05.12'!$C$7:$C$83,$C38,'прогноз на 20.05.12'!AM$7:AM$83)+SUMIF('прогноз на 20.05.12'!$C$7:$C$83,$E38,'прогноз на 20.05.12'!AM$7:AM$83)+SUMIF('прогноз на 20.05.12'!$C$7:$C$83,$G38,'прогноз на 20.05.12'!AM$7:AM$83)+SUMIF('прогноз на 20.05.12'!$C$7:$C$83,$I38,'прогноз на 20.05.12'!AM$7:AM$83)+SUMIF('прогноз на 20.05.12'!$C$7:$C$83,$K38,'прогноз на 20.05.12'!AM$7:AM$83)</f>
        <v>419097</v>
      </c>
      <c r="AR38" s="41">
        <f>SUMIF('прогноз на 20.05.12'!$C$7:$C$83,$C38,'прогноз на 20.05.12'!AN$7:AN$83)+SUMIF('прогноз на 20.05.12'!$C$7:$C$83,$E38,'прогноз на 20.05.12'!AN$7:AN$83)+SUMIF('прогноз на 20.05.12'!$C$7:$C$83,$G38,'прогноз на 20.05.12'!AN$7:AN$83)+SUMIF('прогноз на 20.05.12'!$C$7:$C$83,$I38,'прогноз на 20.05.12'!AN$7:AN$83)+SUMIF('прогноз на 20.05.12'!$C$7:$C$83,$K38,'прогноз на 20.05.12'!AN$7:AN$83)</f>
        <v>95141.200000000012</v>
      </c>
      <c r="AS38" s="41">
        <f>SUMIF('прогноз на 20.05.12'!$C$7:$C$83,$C38,'прогноз на 20.05.12'!AO$7:AO$83)+SUMIF('прогноз на 20.05.12'!$C$7:$C$83,$E38,'прогноз на 20.05.12'!AO$7:AO$83)+SUMIF('прогноз на 20.05.12'!$C$7:$C$83,$G38,'прогноз на 20.05.12'!AO$7:AO$83)+SUMIF('прогноз на 20.05.12'!$C$7:$C$83,$I38,'прогноз на 20.05.12'!AO$7:AO$83)+SUMIF('прогноз на 20.05.12'!$C$7:$C$83,$K38,'прогноз на 20.05.12'!AO$7:AO$83)</f>
        <v>36287</v>
      </c>
      <c r="AT38" s="41">
        <f>SUMIF('прогноз на 20.05.12'!$C$7:$C$83,$C38,'прогноз на 20.05.12'!AP$7:AP$83)+SUMIF('прогноз на 20.05.12'!$C$7:$C$83,$E38,'прогноз на 20.05.12'!AP$7:AP$83)+SUMIF('прогноз на 20.05.12'!$C$7:$C$83,$G38,'прогноз на 20.05.12'!AP$7:AP$83)+SUMIF('прогноз на 20.05.12'!$C$7:$C$83,$I38,'прогноз на 20.05.12'!AP$7:AP$83)+SUMIF('прогноз на 20.05.12'!$C$7:$C$83,$K38,'прогноз на 20.05.12'!AP$7:AP$83)</f>
        <v>550525.19999999995</v>
      </c>
      <c r="AU38" s="41">
        <f>SUMIF('прогноз на 20.05.12'!$C$7:$C$83,$C38,'прогноз на 20.05.12'!AU$7:AU$83)+SUMIF('прогноз на 20.05.12'!$C$7:$C$83,$E38,'прогноз на 20.05.12'!AU$7:AU$83)+SUMIF('прогноз на 20.05.12'!$C$7:$C$83,$G38,'прогноз на 20.05.12'!AU$7:AU$83)+SUMIF('прогноз на 20.05.12'!$C$7:$C$83,$I38,'прогноз на 20.05.12'!AU$7:AU$83)+SUMIF('прогноз на 20.05.12'!$C$7:$C$83,$K38,'прогноз на 20.05.12'!AU$7:AU$83)</f>
        <v>26565</v>
      </c>
      <c r="AV38" s="41">
        <f>SUMIF('прогноз на 20.05.12'!$C$7:$C$83,$C38,'прогноз на 20.05.12'!AV$7:AV$83)+SUMIF('прогноз на 20.05.12'!$C$7:$C$83,$E38,'прогноз на 20.05.12'!AV$7:AV$83)+SUMIF('прогноз на 20.05.12'!$C$7:$C$83,$G38,'прогноз на 20.05.12'!AV$7:AV$83)+SUMIF('прогноз на 20.05.12'!$C$7:$C$83,$I38,'прогноз на 20.05.12'!AV$7:AV$83)+SUMIF('прогноз на 20.05.12'!$C$7:$C$83,$K38,'прогноз на 20.05.12'!AV$7:AV$83)</f>
        <v>4034.8</v>
      </c>
      <c r="AW38" s="41">
        <f>SUMIF('прогноз на 20.05.12'!$C$7:$C$83,$C38,'прогноз на 20.05.12'!AW$7:AW$83)+SUMIF('прогноз на 20.05.12'!$C$7:$C$83,$E38,'прогноз на 20.05.12'!AW$7:AW$83)+SUMIF('прогноз на 20.05.12'!$C$7:$C$83,$G38,'прогноз на 20.05.12'!AW$7:AW$83)+SUMIF('прогноз на 20.05.12'!$C$7:$C$83,$I38,'прогноз на 20.05.12'!AW$7:AW$83)+SUMIF('прогноз на 20.05.12'!$C$7:$C$83,$K38,'прогноз на 20.05.12'!AW$7:AW$83)</f>
        <v>1827</v>
      </c>
      <c r="AX38" s="41">
        <f>SUMIF('прогноз на 20.05.12'!$C$7:$C$83,$C38,'прогноз на 20.05.12'!AX$7:AX$83)+SUMIF('прогноз на 20.05.12'!$C$7:$C$83,$E38,'прогноз на 20.05.12'!AX$7:AX$83)+SUMIF('прогноз на 20.05.12'!$C$7:$C$83,$G38,'прогноз на 20.05.12'!AX$7:AX$83)+SUMIF('прогноз на 20.05.12'!$C$7:$C$83,$I38,'прогноз на 20.05.12'!AX$7:AX$83)+SUMIF('прогноз на 20.05.12'!$C$7:$C$83,$K38,'прогноз на 20.05.12'!AX$7:AX$83)</f>
        <v>32426.799999999999</v>
      </c>
      <c r="AY38" s="41">
        <f>SUMIF('прогноз на 20.05.12'!$C$7:$C$83,$C38,'прогноз на 20.05.12'!AY$7:AY$83)+SUMIF('прогноз на 20.05.12'!$C$7:$C$83,$E38,'прогноз на 20.05.12'!AY$7:AY$83)+SUMIF('прогноз на 20.05.12'!$C$7:$C$83,$G38,'прогноз на 20.05.12'!AY$7:AY$83)+SUMIF('прогноз на 20.05.12'!$C$7:$C$83,$I38,'прогноз на 20.05.12'!AY$7:AY$83)+SUMIF('прогноз на 20.05.12'!$C$7:$C$83,$K38,'прогноз на 20.05.12'!AY$7:AY$83)</f>
        <v>445662</v>
      </c>
      <c r="AZ38" s="41">
        <f>SUMIF('прогноз на 20.05.12'!$C$7:$C$83,$C38,'прогноз на 20.05.12'!AZ$7:AZ$83)+SUMIF('прогноз на 20.05.12'!$C$7:$C$83,$E38,'прогноз на 20.05.12'!AZ$7:AZ$83)+SUMIF('прогноз на 20.05.12'!$C$7:$C$83,$G38,'прогноз на 20.05.12'!AZ$7:AZ$83)+SUMIF('прогноз на 20.05.12'!$C$7:$C$83,$I38,'прогноз на 20.05.12'!AZ$7:AZ$83)+SUMIF('прогноз на 20.05.12'!$C$7:$C$83,$K38,'прогноз на 20.05.12'!AZ$7:AZ$83)</f>
        <v>99176.000000000015</v>
      </c>
      <c r="BA38" s="41">
        <f>SUMIF('прогноз на 20.05.12'!$C$7:$C$83,$C38,'прогноз на 20.05.12'!BA$7:BA$83)+SUMIF('прогноз на 20.05.12'!$C$7:$C$83,$E38,'прогноз на 20.05.12'!BA$7:BA$83)+SUMIF('прогноз на 20.05.12'!$C$7:$C$83,$G38,'прогноз на 20.05.12'!BA$7:BA$83)+SUMIF('прогноз на 20.05.12'!$C$7:$C$83,$I38,'прогноз на 20.05.12'!BA$7:BA$83)+SUMIF('прогноз на 20.05.12'!$C$7:$C$83,$K38,'прогноз на 20.05.12'!BA$7:BA$83)</f>
        <v>38114</v>
      </c>
      <c r="BB38" s="41">
        <f>SUMIF('прогноз на 20.05.12'!$C$7:$C$83,$C38,'прогноз на 20.05.12'!BB$7:BB$83)+SUMIF('прогноз на 20.05.12'!$C$7:$C$83,$E38,'прогноз на 20.05.12'!BB$7:BB$83)+SUMIF('прогноз на 20.05.12'!$C$7:$C$83,$G38,'прогноз на 20.05.12'!BB$7:BB$83)+SUMIF('прогноз на 20.05.12'!$C$7:$C$83,$I38,'прогноз на 20.05.12'!BB$7:BB$83)+SUMIF('прогноз на 20.05.12'!$C$7:$C$83,$K38,'прогноз на 20.05.12'!BB$7:BB$83)</f>
        <v>582952</v>
      </c>
      <c r="BC38" s="41">
        <f>SUMIF('прогноз на 20.05.12'!$C$7:$C$83,$C38,'прогноз на 20.05.12'!BC$7:BC$83)+SUMIF('прогноз на 20.05.12'!$C$7:$C$83,$E38,'прогноз на 20.05.12'!BC$7:BC$83)+SUMIF('прогноз на 20.05.12'!$C$7:$C$83,$G38,'прогноз на 20.05.12'!BC$7:BC$83)+SUMIF('прогноз на 20.05.12'!$C$7:$C$83,$I38,'прогноз на 20.05.12'!BC$7:BC$83)+SUMIF('прогноз на 20.05.12'!$C$7:$C$83,$K38,'прогноз на 20.05.12'!BC$7:BC$83)</f>
        <v>1074271</v>
      </c>
      <c r="BD38" s="41">
        <f>SUMIF('прогноз на 20.05.12'!$C$7:$C$83,$C38,'прогноз на 20.05.12'!BD$7:BD$83)+SUMIF('прогноз на 20.05.12'!$C$7:$C$83,$E38,'прогноз на 20.05.12'!BD$7:BD$83)+SUMIF('прогноз на 20.05.12'!$C$7:$C$83,$G38,'прогноз на 20.05.12'!BD$7:BD$83)+SUMIF('прогноз на 20.05.12'!$C$7:$C$83,$I38,'прогноз на 20.05.12'!BD$7:BD$83)+SUMIF('прогноз на 20.05.12'!$C$7:$C$83,$K38,'прогноз на 20.05.12'!BD$7:BD$83)</f>
        <v>1074271</v>
      </c>
      <c r="BE38" s="41">
        <f>SUMIF('прогноз на 20.05.12'!$C$7:$C$83,$C38,'прогноз на 20.05.12'!BE$7:BE$83)+SUMIF('прогноз на 20.05.12'!$C$7:$C$83,$E38,'прогноз на 20.05.12'!BE$7:BE$83)+SUMIF('прогноз на 20.05.12'!$C$7:$C$83,$G38,'прогноз на 20.05.12'!BE$7:BE$83)+SUMIF('прогноз на 20.05.12'!$C$7:$C$83,$I38,'прогноз на 20.05.12'!BE$7:BE$83)+SUMIF('прогноз на 20.05.12'!$C$7:$C$83,$K38,'прогноз на 20.05.12'!BE$7:BE$83)</f>
        <v>0</v>
      </c>
      <c r="BF38" s="41">
        <f>SUMIF('прогноз на 20.05.12'!$C$7:$C$83,$C38,'прогноз на 20.05.12'!BF$7:BF$83)+SUMIF('прогноз на 20.05.12'!$C$7:$C$83,$E38,'прогноз на 20.05.12'!BF$7:BF$83)+SUMIF('прогноз на 20.05.12'!$C$7:$C$83,$G38,'прогноз на 20.05.12'!BF$7:BF$83)+SUMIF('прогноз на 20.05.12'!$C$7:$C$83,$I38,'прогноз на 20.05.12'!BF$7:BF$83)+SUMIF('прогноз на 20.05.12'!$C$7:$C$83,$K38,'прогноз на 20.05.12'!BF$7:BF$83)</f>
        <v>491319</v>
      </c>
      <c r="BG38" s="41">
        <f>SUMIF('прогноз на 20.05.12'!$C$7:$C$83,$C38,'прогноз на 20.05.12'!BG$7:BG$83)+SUMIF('прогноз на 20.05.12'!$C$7:$C$83,$E38,'прогноз на 20.05.12'!BG$7:BG$83)+SUMIF('прогноз на 20.05.12'!$C$7:$C$83,$G38,'прогноз на 20.05.12'!BG$7:BG$83)+SUMIF('прогноз на 20.05.12'!$C$7:$C$83,$I38,'прогноз на 20.05.12'!BG$7:BG$83)+SUMIF('прогноз на 20.05.12'!$C$7:$C$83,$K38,'прогноз на 20.05.12'!BG$7:BG$83)</f>
        <v>503927.5</v>
      </c>
      <c r="BH38" s="41">
        <f>SUMIF('прогноз на 20.05.12'!$C$7:$C$83,$C38,'прогноз на 20.05.12'!BH$7:BH$83)+SUMIF('прогноз на 20.05.12'!$C$7:$C$83,$E38,'прогноз на 20.05.12'!BH$7:BH$83)+SUMIF('прогноз на 20.05.12'!$C$7:$C$83,$G38,'прогноз на 20.05.12'!BH$7:BH$83)+SUMIF('прогноз на 20.05.12'!$C$7:$C$83,$I38,'прогноз на 20.05.12'!BH$7:BH$83)+SUMIF('прогноз на 20.05.12'!$C$7:$C$83,$K38,'прогноз на 20.05.12'!BH$7:BH$83)</f>
        <v>-12608.5</v>
      </c>
      <c r="BI38" s="90">
        <f t="shared" si="10"/>
        <v>10</v>
      </c>
      <c r="BJ38" s="90">
        <f t="shared" si="11"/>
        <v>16.8</v>
      </c>
      <c r="BK38" s="90">
        <f t="shared" si="12"/>
        <v>16.5</v>
      </c>
      <c r="BL38" s="90">
        <f t="shared" si="13"/>
        <v>13.357142857142858</v>
      </c>
    </row>
    <row r="39" spans="1:64">
      <c r="O39" s="35"/>
    </row>
    <row r="40" spans="1:64">
      <c r="M40" s="36"/>
      <c r="O40" s="35"/>
      <c r="S40" s="35"/>
      <c r="Y40" s="37"/>
    </row>
    <row r="41" spans="1:64">
      <c r="O41" s="35"/>
    </row>
    <row r="42" spans="1:64">
      <c r="O42" s="35"/>
      <c r="S42" s="35"/>
    </row>
    <row r="104" spans="2:11">
      <c r="B104" s="18"/>
      <c r="C104" s="18"/>
      <c r="D104" s="18"/>
      <c r="E104" s="18"/>
      <c r="F104" s="18"/>
      <c r="G104" s="18"/>
      <c r="H104" s="18"/>
      <c r="I104" s="18"/>
      <c r="J104" s="18"/>
      <c r="K104" s="18"/>
    </row>
    <row r="105" spans="2:11">
      <c r="B105" s="18"/>
      <c r="C105" s="18"/>
      <c r="D105" s="18"/>
      <c r="E105" s="18"/>
      <c r="F105" s="18"/>
      <c r="G105" s="18"/>
      <c r="H105" s="18"/>
      <c r="I105" s="18"/>
      <c r="J105" s="18"/>
      <c r="K105" s="18"/>
    </row>
    <row r="106" spans="2:11">
      <c r="B106" s="18"/>
      <c r="C106" s="18"/>
      <c r="D106" s="18"/>
      <c r="E106" s="18"/>
      <c r="F106" s="18"/>
      <c r="G106" s="18"/>
      <c r="H106" s="18"/>
      <c r="I106" s="18"/>
      <c r="J106" s="18"/>
      <c r="K106" s="18"/>
    </row>
    <row r="107" spans="2:11">
      <c r="B107" s="18"/>
      <c r="C107" s="18"/>
      <c r="D107" s="18"/>
      <c r="E107" s="18"/>
      <c r="F107" s="18"/>
      <c r="G107" s="18"/>
      <c r="H107" s="18"/>
      <c r="I107" s="18"/>
      <c r="J107" s="18"/>
      <c r="K107" s="18"/>
    </row>
    <row r="108" spans="2:11">
      <c r="B108" s="18"/>
      <c r="C108" s="18"/>
      <c r="D108" s="18"/>
      <c r="E108" s="18"/>
      <c r="F108" s="18"/>
      <c r="G108" s="18"/>
      <c r="H108" s="18"/>
      <c r="I108" s="18"/>
      <c r="J108" s="18"/>
      <c r="K108" s="18"/>
    </row>
    <row r="109" spans="2:11">
      <c r="B109" s="18"/>
      <c r="C109" s="18"/>
      <c r="D109" s="18"/>
      <c r="E109" s="18"/>
      <c r="F109" s="18"/>
      <c r="G109" s="18"/>
      <c r="H109" s="18"/>
      <c r="I109" s="18"/>
      <c r="J109" s="18"/>
      <c r="K109" s="18"/>
    </row>
    <row r="110" spans="2:11">
      <c r="B110" s="18"/>
      <c r="C110" s="18"/>
      <c r="D110" s="18"/>
      <c r="E110" s="18"/>
      <c r="F110" s="18"/>
      <c r="G110" s="18"/>
      <c r="H110" s="18"/>
      <c r="I110" s="18"/>
      <c r="J110" s="18"/>
      <c r="K110" s="18"/>
    </row>
    <row r="111" spans="2:11">
      <c r="B111" s="18"/>
      <c r="C111" s="18"/>
      <c r="D111" s="18"/>
      <c r="E111" s="18"/>
      <c r="F111" s="18"/>
      <c r="G111" s="18"/>
      <c r="H111" s="18"/>
      <c r="I111" s="18"/>
      <c r="J111" s="18"/>
      <c r="K111" s="18"/>
    </row>
    <row r="112" spans="2:11">
      <c r="B112" s="18"/>
      <c r="C112" s="18"/>
      <c r="D112" s="18"/>
      <c r="E112" s="18"/>
      <c r="F112" s="18"/>
      <c r="G112" s="18"/>
      <c r="H112" s="18"/>
      <c r="I112" s="18"/>
      <c r="J112" s="18"/>
      <c r="K112" s="18"/>
    </row>
    <row r="113" spans="2:11">
      <c r="B113" s="18"/>
      <c r="C113" s="18"/>
      <c r="D113" s="18"/>
      <c r="E113" s="18"/>
      <c r="F113" s="18"/>
      <c r="G113" s="18"/>
      <c r="H113" s="18"/>
      <c r="I113" s="18"/>
      <c r="J113" s="18"/>
      <c r="K113" s="18"/>
    </row>
    <row r="114" spans="2:11">
      <c r="B114" s="18"/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2:11">
      <c r="B115" s="18"/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2:11">
      <c r="B116" s="18"/>
      <c r="C116" s="18"/>
      <c r="D116" s="18"/>
      <c r="E116" s="18"/>
      <c r="F116" s="18"/>
      <c r="G116" s="18"/>
      <c r="H116" s="18"/>
      <c r="I116" s="18"/>
      <c r="J116" s="18"/>
      <c r="K116" s="18"/>
    </row>
    <row r="117" spans="2:11">
      <c r="B117" s="18"/>
      <c r="C117" s="18"/>
      <c r="D117" s="18"/>
      <c r="E117" s="18"/>
      <c r="F117" s="18"/>
      <c r="G117" s="18"/>
      <c r="H117" s="18"/>
      <c r="I117" s="18"/>
      <c r="J117" s="18"/>
      <c r="K117" s="18"/>
    </row>
    <row r="118" spans="2:11">
      <c r="B118" s="18"/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2:11"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2:11">
      <c r="B120" s="18"/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2:11">
      <c r="B121" s="18"/>
      <c r="C121" s="18"/>
      <c r="D121" s="18"/>
      <c r="E121" s="18"/>
      <c r="F121" s="18"/>
      <c r="G121" s="18"/>
      <c r="H121" s="18"/>
      <c r="I121" s="18"/>
      <c r="J121" s="18"/>
      <c r="K121" s="18"/>
    </row>
    <row r="122" spans="2:11">
      <c r="B122" s="18"/>
      <c r="C122" s="18"/>
      <c r="D122" s="18"/>
      <c r="E122" s="18"/>
      <c r="F122" s="18"/>
      <c r="G122" s="18"/>
      <c r="H122" s="18"/>
      <c r="I122" s="18"/>
      <c r="J122" s="18"/>
      <c r="K122" s="18"/>
    </row>
    <row r="123" spans="2:11">
      <c r="B123" s="18"/>
      <c r="C123" s="18"/>
      <c r="D123" s="18"/>
      <c r="E123" s="18"/>
      <c r="F123" s="18"/>
      <c r="G123" s="18"/>
      <c r="H123" s="18"/>
      <c r="I123" s="18"/>
      <c r="J123" s="18"/>
      <c r="K123" s="18"/>
    </row>
    <row r="124" spans="2:11">
      <c r="B124" s="18"/>
      <c r="C124" s="18"/>
      <c r="D124" s="18"/>
      <c r="E124" s="18"/>
      <c r="F124" s="18"/>
      <c r="G124" s="18"/>
      <c r="H124" s="18"/>
      <c r="I124" s="18"/>
      <c r="J124" s="18"/>
      <c r="K124" s="18"/>
    </row>
    <row r="125" spans="2:11">
      <c r="B125" s="18"/>
      <c r="C125" s="18"/>
      <c r="D125" s="18"/>
      <c r="E125" s="18"/>
      <c r="F125" s="18"/>
      <c r="G125" s="18"/>
      <c r="H125" s="18"/>
      <c r="I125" s="18"/>
      <c r="J125" s="18"/>
      <c r="K125" s="18"/>
    </row>
    <row r="126" spans="2:11">
      <c r="B126" s="18"/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2:11">
      <c r="B127" s="18"/>
      <c r="C127" s="18"/>
      <c r="D127" s="18"/>
      <c r="E127" s="18"/>
      <c r="F127" s="18"/>
      <c r="G127" s="18"/>
      <c r="H127" s="18"/>
      <c r="I127" s="18"/>
      <c r="J127" s="18"/>
      <c r="K127" s="18"/>
    </row>
    <row r="128" spans="2:11">
      <c r="B128" s="18"/>
      <c r="C128" s="18"/>
      <c r="D128" s="18"/>
      <c r="E128" s="18"/>
      <c r="F128" s="18"/>
      <c r="G128" s="18"/>
      <c r="H128" s="18"/>
      <c r="I128" s="18"/>
      <c r="J128" s="18"/>
      <c r="K128" s="18"/>
    </row>
    <row r="129" spans="2:11">
      <c r="B129" s="18"/>
      <c r="C129" s="18"/>
      <c r="D129" s="18"/>
      <c r="E129" s="18"/>
      <c r="F129" s="18"/>
      <c r="G129" s="18"/>
      <c r="H129" s="18"/>
      <c r="I129" s="18"/>
      <c r="J129" s="18"/>
      <c r="K129" s="18"/>
    </row>
    <row r="130" spans="2:11">
      <c r="B130" s="18"/>
      <c r="C130" s="18"/>
      <c r="D130" s="18"/>
      <c r="E130" s="18"/>
      <c r="F130" s="18"/>
      <c r="G130" s="18"/>
      <c r="H130" s="18"/>
      <c r="I130" s="18"/>
      <c r="J130" s="18"/>
      <c r="K130" s="18"/>
    </row>
    <row r="131" spans="2:11">
      <c r="B131" s="18"/>
      <c r="C131" s="18"/>
      <c r="D131" s="18"/>
      <c r="E131" s="18"/>
      <c r="F131" s="18"/>
      <c r="G131" s="18"/>
      <c r="H131" s="18"/>
      <c r="I131" s="18"/>
      <c r="J131" s="18"/>
      <c r="K131" s="18"/>
    </row>
    <row r="132" spans="2:11">
      <c r="B132" s="18"/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2:11">
      <c r="B133" s="18"/>
      <c r="C133" s="18"/>
      <c r="D133" s="18"/>
      <c r="E133" s="18"/>
      <c r="F133" s="18"/>
      <c r="G133" s="18"/>
      <c r="H133" s="18"/>
      <c r="I133" s="18"/>
      <c r="J133" s="18"/>
      <c r="K133" s="18"/>
    </row>
    <row r="134" spans="2:11">
      <c r="B134" s="18"/>
      <c r="C134" s="18"/>
      <c r="D134" s="18"/>
      <c r="E134" s="18"/>
      <c r="F134" s="18"/>
      <c r="G134" s="18"/>
      <c r="H134" s="18"/>
      <c r="I134" s="18"/>
      <c r="J134" s="18"/>
      <c r="K134" s="18"/>
    </row>
    <row r="135" spans="2:11">
      <c r="B135" s="18"/>
      <c r="C135" s="18"/>
      <c r="D135" s="18"/>
      <c r="E135" s="18"/>
      <c r="F135" s="18"/>
      <c r="G135" s="18"/>
      <c r="H135" s="18"/>
      <c r="I135" s="18"/>
      <c r="J135" s="18"/>
      <c r="K135" s="18"/>
    </row>
    <row r="136" spans="2:11">
      <c r="B136" s="18"/>
      <c r="C136" s="18"/>
      <c r="D136" s="18"/>
      <c r="E136" s="18"/>
      <c r="F136" s="18"/>
      <c r="G136" s="18"/>
      <c r="H136" s="18"/>
      <c r="I136" s="18"/>
      <c r="J136" s="18"/>
      <c r="K136" s="18"/>
    </row>
    <row r="137" spans="2:11">
      <c r="B137" s="18"/>
      <c r="C137" s="18"/>
      <c r="D137" s="18"/>
      <c r="E137" s="18"/>
      <c r="F137" s="18"/>
      <c r="G137" s="18"/>
      <c r="H137" s="18"/>
      <c r="I137" s="18"/>
      <c r="J137" s="18"/>
      <c r="K137" s="18"/>
    </row>
    <row r="138" spans="2:11">
      <c r="B138" s="18"/>
      <c r="C138" s="18"/>
      <c r="D138" s="18"/>
      <c r="E138" s="18"/>
      <c r="F138" s="18"/>
      <c r="G138" s="18"/>
      <c r="H138" s="18"/>
      <c r="I138" s="18"/>
      <c r="J138" s="18"/>
      <c r="K138" s="18"/>
    </row>
    <row r="139" spans="2:11">
      <c r="B139" s="18"/>
      <c r="C139" s="18"/>
      <c r="D139" s="18"/>
      <c r="E139" s="18"/>
      <c r="F139" s="18"/>
      <c r="G139" s="18"/>
      <c r="H139" s="18"/>
      <c r="I139" s="18"/>
      <c r="J139" s="18"/>
      <c r="K139" s="18"/>
    </row>
  </sheetData>
  <autoFilter ref="A6:Z38"/>
  <mergeCells count="28">
    <mergeCell ref="BG2:BH2"/>
    <mergeCell ref="BI2:BL2"/>
    <mergeCell ref="L2:O2"/>
    <mergeCell ref="P2:S2"/>
    <mergeCell ref="T2:W2"/>
    <mergeCell ref="AU2:AX2"/>
    <mergeCell ref="AY2:BB2"/>
    <mergeCell ref="BC2:BC3"/>
    <mergeCell ref="BD2:BE2"/>
    <mergeCell ref="BF2:BF3"/>
    <mergeCell ref="AA2:AD2"/>
    <mergeCell ref="AE2:AH2"/>
    <mergeCell ref="AI2:AL2"/>
    <mergeCell ref="AM2:AP2"/>
    <mergeCell ref="AQ2:AT2"/>
    <mergeCell ref="Z2:Z3"/>
    <mergeCell ref="A2:A3"/>
    <mergeCell ref="B2:B3"/>
    <mergeCell ref="C2:C3"/>
    <mergeCell ref="G2:G3"/>
    <mergeCell ref="H2:H3"/>
    <mergeCell ref="X2:Y2"/>
    <mergeCell ref="K2:K3"/>
    <mergeCell ref="D2:D3"/>
    <mergeCell ref="E2:E3"/>
    <mergeCell ref="F2:F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76" fitToWidth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L184"/>
  <sheetViews>
    <sheetView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BC15" sqref="BC15"/>
    </sheetView>
  </sheetViews>
  <sheetFormatPr defaultColWidth="8.88671875" defaultRowHeight="12.75"/>
  <cols>
    <col min="1" max="1" width="2.6640625" style="17" customWidth="1"/>
    <col min="2" max="2" width="27.6640625" style="17" customWidth="1"/>
    <col min="3" max="3" width="8.33203125" style="17" customWidth="1"/>
    <col min="4" max="4" width="5.21875" style="17" customWidth="1"/>
    <col min="5" max="5" width="5.44140625" style="17" customWidth="1"/>
    <col min="6" max="6" width="5.109375" style="18" customWidth="1"/>
    <col min="7" max="7" width="4.88671875" style="18" customWidth="1"/>
    <col min="8" max="8" width="5.44140625" style="18" customWidth="1"/>
    <col min="9" max="9" width="6" style="18" customWidth="1"/>
    <col min="10" max="10" width="5.5546875" style="18" customWidth="1"/>
    <col min="11" max="11" width="5.109375" style="18" customWidth="1"/>
    <col min="12" max="12" width="5.44140625" style="18" customWidth="1"/>
    <col min="13" max="13" width="4.88671875" style="18" customWidth="1"/>
    <col min="14" max="14" width="6" style="18" customWidth="1"/>
    <col min="15" max="15" width="5.109375" style="18" customWidth="1"/>
    <col min="16" max="16" width="5.6640625" style="18" customWidth="1"/>
    <col min="17" max="17" width="5.109375" style="18" customWidth="1"/>
    <col min="18" max="18" width="8.88671875" style="18" customWidth="1"/>
    <col min="19" max="19" width="5.21875" style="17" customWidth="1"/>
    <col min="20" max="20" width="5.44140625" style="17" customWidth="1"/>
    <col min="21" max="21" width="5.109375" style="18" customWidth="1"/>
    <col min="22" max="22" width="4.88671875" style="18" customWidth="1"/>
    <col min="23" max="23" width="5.21875" style="17" customWidth="1"/>
    <col min="24" max="24" width="5.44140625" style="17" customWidth="1"/>
    <col min="25" max="25" width="5.109375" style="18" customWidth="1"/>
    <col min="26" max="26" width="4.88671875" style="18" customWidth="1"/>
    <col min="27" max="27" width="5.21875" style="17" customWidth="1"/>
    <col min="28" max="28" width="5.44140625" style="17" customWidth="1"/>
    <col min="29" max="29" width="5.109375" style="18" customWidth="1"/>
    <col min="30" max="30" width="6.109375" style="18" customWidth="1"/>
    <col min="31" max="31" width="6.33203125" style="17" customWidth="1"/>
    <col min="32" max="32" width="7.21875" style="17" customWidth="1"/>
    <col min="33" max="33" width="6.77734375" style="18" customWidth="1"/>
    <col min="34" max="34" width="6.5546875" style="18" customWidth="1"/>
    <col min="35" max="35" width="7.6640625" style="17" customWidth="1"/>
    <col min="36" max="36" width="5.44140625" style="17" customWidth="1"/>
    <col min="37" max="37" width="5.109375" style="18" customWidth="1"/>
    <col min="38" max="38" width="6.109375" style="18" customWidth="1"/>
    <col min="39" max="39" width="8.5546875" style="17" customWidth="1"/>
    <col min="40" max="40" width="10.5546875" style="17" customWidth="1"/>
    <col min="41" max="41" width="10.21875" style="18" customWidth="1"/>
    <col min="42" max="42" width="10.88671875" style="18" customWidth="1"/>
    <col min="43" max="43" width="7.6640625" style="17" customWidth="1"/>
    <col min="44" max="44" width="5.44140625" style="17" customWidth="1"/>
    <col min="45" max="45" width="5.109375" style="18" customWidth="1"/>
    <col min="46" max="46" width="6.109375" style="18" customWidth="1"/>
    <col min="47" max="47" width="8.5546875" style="17" customWidth="1"/>
    <col min="48" max="48" width="8.88671875" style="17" customWidth="1"/>
    <col min="49" max="49" width="7.88671875" style="18" customWidth="1"/>
    <col min="50" max="50" width="10.88671875" style="18" customWidth="1"/>
    <col min="51" max="51" width="8.5546875" style="17" customWidth="1"/>
    <col min="52" max="52" width="12.109375" style="17" customWidth="1"/>
    <col min="53" max="53" width="11.109375" style="18" customWidth="1"/>
    <col min="54" max="54" width="10.88671875" style="18" customWidth="1"/>
    <col min="55" max="60" width="10.44140625" style="18" customWidth="1"/>
    <col min="61" max="61" width="5.44140625" style="18" customWidth="1"/>
    <col min="62" max="62" width="6" style="18" customWidth="1"/>
    <col min="63" max="63" width="5.5546875" style="18" customWidth="1"/>
    <col min="64" max="64" width="5.109375" style="18" customWidth="1"/>
    <col min="65" max="16384" width="8.88671875" style="18"/>
  </cols>
  <sheetData>
    <row r="1" spans="1:64">
      <c r="A1" s="21"/>
      <c r="B1" s="20" t="s">
        <v>176</v>
      </c>
      <c r="C1" s="20"/>
      <c r="D1" s="20"/>
      <c r="E1" s="20"/>
      <c r="F1" s="19"/>
      <c r="G1" s="19"/>
      <c r="S1" s="20"/>
      <c r="T1" s="20"/>
      <c r="U1" s="19"/>
      <c r="V1" s="19"/>
      <c r="W1" s="20"/>
      <c r="X1" s="20"/>
      <c r="Y1" s="19"/>
      <c r="Z1" s="19"/>
      <c r="AA1" s="20"/>
      <c r="AB1" s="20"/>
      <c r="AC1" s="19"/>
      <c r="AD1" s="19"/>
      <c r="AE1" s="20"/>
      <c r="AF1" s="20"/>
      <c r="AG1" s="19"/>
      <c r="AH1" s="19"/>
      <c r="AI1" s="20"/>
      <c r="AJ1" s="20"/>
      <c r="AK1" s="19"/>
      <c r="AL1" s="19"/>
      <c r="AM1" s="20"/>
      <c r="AN1" s="20"/>
      <c r="AO1" s="19"/>
      <c r="AP1" s="19"/>
      <c r="AQ1" s="20"/>
      <c r="AR1" s="20"/>
      <c r="AS1" s="19"/>
      <c r="AT1" s="19"/>
      <c r="AU1" s="20"/>
      <c r="AV1" s="20"/>
      <c r="AW1" s="19"/>
      <c r="AX1" s="19"/>
      <c r="AY1" s="20"/>
      <c r="AZ1" s="20"/>
      <c r="BA1" s="19"/>
      <c r="BB1" s="19"/>
    </row>
    <row r="2" spans="1:64" s="59" customFormat="1" ht="33" customHeight="1">
      <c r="A2" s="300" t="s">
        <v>0</v>
      </c>
      <c r="B2" s="302" t="s">
        <v>162</v>
      </c>
      <c r="C2" s="61"/>
      <c r="D2" s="297" t="s">
        <v>163</v>
      </c>
      <c r="E2" s="298"/>
      <c r="F2" s="298"/>
      <c r="G2" s="299"/>
      <c r="H2" s="282" t="s">
        <v>164</v>
      </c>
      <c r="I2" s="283"/>
      <c r="J2" s="283"/>
      <c r="K2" s="284"/>
      <c r="L2" s="304" t="s">
        <v>165</v>
      </c>
      <c r="M2" s="308"/>
      <c r="N2" s="308"/>
      <c r="O2" s="305"/>
      <c r="P2" s="304" t="s">
        <v>166</v>
      </c>
      <c r="Q2" s="305"/>
      <c r="R2" s="306" t="s">
        <v>167</v>
      </c>
      <c r="S2" s="292" t="s">
        <v>255</v>
      </c>
      <c r="T2" s="292"/>
      <c r="U2" s="292"/>
      <c r="V2" s="292"/>
      <c r="W2" s="292" t="s">
        <v>256</v>
      </c>
      <c r="X2" s="292"/>
      <c r="Y2" s="292"/>
      <c r="Z2" s="292"/>
      <c r="AA2" s="292" t="s">
        <v>258</v>
      </c>
      <c r="AB2" s="292"/>
      <c r="AC2" s="292"/>
      <c r="AD2" s="292"/>
      <c r="AE2" s="292" t="s">
        <v>257</v>
      </c>
      <c r="AF2" s="292"/>
      <c r="AG2" s="292"/>
      <c r="AH2" s="292"/>
      <c r="AI2" s="292" t="s">
        <v>259</v>
      </c>
      <c r="AJ2" s="292"/>
      <c r="AK2" s="292"/>
      <c r="AL2" s="292"/>
      <c r="AM2" s="292" t="s">
        <v>260</v>
      </c>
      <c r="AN2" s="292"/>
      <c r="AO2" s="292"/>
      <c r="AP2" s="292"/>
      <c r="AQ2" s="292" t="s">
        <v>261</v>
      </c>
      <c r="AR2" s="292"/>
      <c r="AS2" s="292"/>
      <c r="AT2" s="292"/>
      <c r="AU2" s="292" t="s">
        <v>262</v>
      </c>
      <c r="AV2" s="292"/>
      <c r="AW2" s="292"/>
      <c r="AX2" s="292"/>
      <c r="AY2" s="292" t="s">
        <v>263</v>
      </c>
      <c r="AZ2" s="292"/>
      <c r="BA2" s="292"/>
      <c r="BB2" s="292"/>
      <c r="BC2" s="293" t="s">
        <v>264</v>
      </c>
      <c r="BD2" s="281" t="s">
        <v>265</v>
      </c>
      <c r="BE2" s="281"/>
      <c r="BF2" s="293" t="s">
        <v>268</v>
      </c>
      <c r="BG2" s="281" t="s">
        <v>265</v>
      </c>
      <c r="BH2" s="281"/>
      <c r="BI2" s="282" t="s">
        <v>269</v>
      </c>
      <c r="BJ2" s="283"/>
      <c r="BK2" s="283"/>
      <c r="BL2" s="284"/>
    </row>
    <row r="3" spans="1:64" s="59" customFormat="1" ht="25.5">
      <c r="A3" s="301"/>
      <c r="B3" s="303"/>
      <c r="C3" s="62"/>
      <c r="D3" s="63" t="s">
        <v>168</v>
      </c>
      <c r="E3" s="63" t="s">
        <v>169</v>
      </c>
      <c r="F3" s="64" t="s">
        <v>170</v>
      </c>
      <c r="G3" s="64" t="s">
        <v>171</v>
      </c>
      <c r="H3" s="63" t="s">
        <v>168</v>
      </c>
      <c r="I3" s="63" t="s">
        <v>169</v>
      </c>
      <c r="J3" s="64" t="s">
        <v>170</v>
      </c>
      <c r="K3" s="65" t="s">
        <v>171</v>
      </c>
      <c r="L3" s="66" t="s">
        <v>168</v>
      </c>
      <c r="M3" s="66" t="s">
        <v>169</v>
      </c>
      <c r="N3" s="65" t="s">
        <v>170</v>
      </c>
      <c r="O3" s="67" t="s">
        <v>171</v>
      </c>
      <c r="P3" s="68" t="s">
        <v>172</v>
      </c>
      <c r="Q3" s="52" t="s">
        <v>173</v>
      </c>
      <c r="R3" s="307"/>
      <c r="S3" s="63" t="s">
        <v>168</v>
      </c>
      <c r="T3" s="63" t="s">
        <v>169</v>
      </c>
      <c r="U3" s="64" t="s">
        <v>170</v>
      </c>
      <c r="V3" s="64" t="s">
        <v>171</v>
      </c>
      <c r="W3" s="63" t="s">
        <v>168</v>
      </c>
      <c r="X3" s="63" t="s">
        <v>169</v>
      </c>
      <c r="Y3" s="64" t="s">
        <v>170</v>
      </c>
      <c r="Z3" s="64" t="s">
        <v>171</v>
      </c>
      <c r="AA3" s="63" t="s">
        <v>168</v>
      </c>
      <c r="AB3" s="63" t="s">
        <v>169</v>
      </c>
      <c r="AC3" s="64" t="s">
        <v>170</v>
      </c>
      <c r="AD3" s="64" t="s">
        <v>171</v>
      </c>
      <c r="AE3" s="63" t="s">
        <v>168</v>
      </c>
      <c r="AF3" s="63" t="s">
        <v>169</v>
      </c>
      <c r="AG3" s="64" t="s">
        <v>170</v>
      </c>
      <c r="AH3" s="64" t="s">
        <v>171</v>
      </c>
      <c r="AI3" s="63" t="s">
        <v>168</v>
      </c>
      <c r="AJ3" s="63" t="s">
        <v>169</v>
      </c>
      <c r="AK3" s="64" t="s">
        <v>170</v>
      </c>
      <c r="AL3" s="64" t="s">
        <v>171</v>
      </c>
      <c r="AM3" s="63" t="s">
        <v>168</v>
      </c>
      <c r="AN3" s="63" t="s">
        <v>169</v>
      </c>
      <c r="AO3" s="64" t="s">
        <v>170</v>
      </c>
      <c r="AP3" s="64" t="s">
        <v>171</v>
      </c>
      <c r="AQ3" s="63" t="s">
        <v>168</v>
      </c>
      <c r="AR3" s="63" t="s">
        <v>169</v>
      </c>
      <c r="AS3" s="64" t="s">
        <v>170</v>
      </c>
      <c r="AT3" s="64" t="s">
        <v>171</v>
      </c>
      <c r="AU3" s="63" t="s">
        <v>168</v>
      </c>
      <c r="AV3" s="63" t="s">
        <v>169</v>
      </c>
      <c r="AW3" s="64" t="s">
        <v>170</v>
      </c>
      <c r="AX3" s="64" t="s">
        <v>171</v>
      </c>
      <c r="AY3" s="63" t="s">
        <v>168</v>
      </c>
      <c r="AZ3" s="63" t="s">
        <v>169</v>
      </c>
      <c r="BA3" s="64" t="s">
        <v>170</v>
      </c>
      <c r="BB3" s="64" t="s">
        <v>171</v>
      </c>
      <c r="BC3" s="294"/>
      <c r="BD3" s="88" t="s">
        <v>266</v>
      </c>
      <c r="BE3" s="88" t="s">
        <v>267</v>
      </c>
      <c r="BF3" s="294"/>
      <c r="BG3" s="88" t="s">
        <v>266</v>
      </c>
      <c r="BH3" s="88" t="s">
        <v>267</v>
      </c>
      <c r="BI3" s="63" t="s">
        <v>168</v>
      </c>
      <c r="BJ3" s="63" t="s">
        <v>169</v>
      </c>
      <c r="BK3" s="64" t="s">
        <v>170</v>
      </c>
      <c r="BL3" s="65" t="s">
        <v>171</v>
      </c>
    </row>
    <row r="4" spans="1:64" s="59" customFormat="1">
      <c r="A4" s="69" t="s">
        <v>174</v>
      </c>
      <c r="B4" s="70"/>
      <c r="C4" s="70"/>
      <c r="D4" s="71"/>
      <c r="E4" s="71"/>
      <c r="F4" s="71"/>
      <c r="G4" s="72"/>
      <c r="H4" s="72"/>
      <c r="I4" s="45"/>
      <c r="J4" s="45"/>
      <c r="K4" s="45"/>
      <c r="L4" s="45"/>
      <c r="M4" s="45"/>
      <c r="N4" s="45"/>
      <c r="O4" s="45"/>
      <c r="P4" s="45"/>
      <c r="Q4" s="45"/>
      <c r="R4" s="45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2"/>
      <c r="BJ4" s="45"/>
      <c r="BK4" s="45"/>
      <c r="BL4" s="45"/>
    </row>
    <row r="5" spans="1:64" s="59" customFormat="1">
      <c r="A5" s="52"/>
      <c r="B5" s="53" t="s">
        <v>175</v>
      </c>
      <c r="C5" s="53"/>
      <c r="D5" s="54">
        <f t="shared" ref="D5:BC5" si="0">SUBTOTAL(9,D7:D800)</f>
        <v>2107</v>
      </c>
      <c r="E5" s="54">
        <f t="shared" si="0"/>
        <v>3101</v>
      </c>
      <c r="F5" s="54">
        <f t="shared" si="0"/>
        <v>1330</v>
      </c>
      <c r="G5" s="54">
        <f t="shared" si="0"/>
        <v>6538</v>
      </c>
      <c r="H5" s="54">
        <f t="shared" si="0"/>
        <v>210</v>
      </c>
      <c r="I5" s="54">
        <f t="shared" si="0"/>
        <v>196</v>
      </c>
      <c r="J5" s="54">
        <f t="shared" si="0"/>
        <v>81</v>
      </c>
      <c r="K5" s="54">
        <f t="shared" si="0"/>
        <v>487</v>
      </c>
      <c r="L5" s="54">
        <f t="shared" si="0"/>
        <v>6</v>
      </c>
      <c r="M5" s="54">
        <f t="shared" si="0"/>
        <v>15</v>
      </c>
      <c r="N5" s="54">
        <f t="shared" si="0"/>
        <v>6</v>
      </c>
      <c r="O5" s="54">
        <f t="shared" si="0"/>
        <v>27</v>
      </c>
      <c r="P5" s="54">
        <f t="shared" si="0"/>
        <v>46</v>
      </c>
      <c r="Q5" s="54">
        <f t="shared" si="0"/>
        <v>1148</v>
      </c>
      <c r="R5" s="54">
        <f t="shared" si="0"/>
        <v>18</v>
      </c>
      <c r="S5" s="54">
        <f t="shared" si="0"/>
        <v>2627</v>
      </c>
      <c r="T5" s="54">
        <f t="shared" si="0"/>
        <v>3239</v>
      </c>
      <c r="U5" s="54">
        <f t="shared" si="0"/>
        <v>1373</v>
      </c>
      <c r="V5" s="54">
        <f t="shared" si="0"/>
        <v>7239</v>
      </c>
      <c r="W5" s="84">
        <f t="shared" si="0"/>
        <v>520</v>
      </c>
      <c r="X5" s="84">
        <f t="shared" si="0"/>
        <v>138</v>
      </c>
      <c r="Y5" s="84">
        <f t="shared" si="0"/>
        <v>43</v>
      </c>
      <c r="Z5" s="84">
        <f t="shared" si="0"/>
        <v>701</v>
      </c>
      <c r="AA5" s="84">
        <f t="shared" si="0"/>
        <v>414.7</v>
      </c>
      <c r="AB5" s="84">
        <f t="shared" si="0"/>
        <v>378.22500000000002</v>
      </c>
      <c r="AC5" s="84">
        <f t="shared" si="0"/>
        <v>98.655000000000015</v>
      </c>
      <c r="AD5" s="84">
        <f t="shared" si="0"/>
        <v>891.57999999999993</v>
      </c>
      <c r="AE5" s="84">
        <f t="shared" si="0"/>
        <v>2521.6999999999998</v>
      </c>
      <c r="AF5" s="84">
        <f t="shared" si="0"/>
        <v>3479.2250000000004</v>
      </c>
      <c r="AG5" s="84">
        <f t="shared" si="0"/>
        <v>1428.6550000000002</v>
      </c>
      <c r="AH5" s="84">
        <f t="shared" si="0"/>
        <v>7429.58</v>
      </c>
      <c r="AI5" s="54"/>
      <c r="AJ5" s="84"/>
      <c r="AK5" s="84"/>
      <c r="AL5" s="84"/>
      <c r="AM5" s="84">
        <f t="shared" si="0"/>
        <v>7762856.2000000002</v>
      </c>
      <c r="AN5" s="84">
        <f t="shared" si="0"/>
        <v>12630960.399999999</v>
      </c>
      <c r="AO5" s="84">
        <f t="shared" si="0"/>
        <v>3532189.8849999998</v>
      </c>
      <c r="AP5" s="84">
        <f t="shared" si="0"/>
        <v>23926006.484999999</v>
      </c>
      <c r="AQ5" s="84"/>
      <c r="AR5" s="84"/>
      <c r="AS5" s="84"/>
      <c r="AT5" s="84"/>
      <c r="AU5" s="84">
        <f t="shared" si="0"/>
        <v>492489.8</v>
      </c>
      <c r="AV5" s="84">
        <f t="shared" si="0"/>
        <v>512616.6</v>
      </c>
      <c r="AW5" s="84">
        <f t="shared" si="0"/>
        <v>161365.55999999997</v>
      </c>
      <c r="AX5" s="84">
        <f t="shared" si="0"/>
        <v>1166471.96</v>
      </c>
      <c r="AY5" s="84">
        <f t="shared" si="0"/>
        <v>8255345.9999999991</v>
      </c>
      <c r="AZ5" s="84">
        <f t="shared" si="0"/>
        <v>13143577</v>
      </c>
      <c r="BA5" s="84">
        <f t="shared" si="0"/>
        <v>3693555.4449999994</v>
      </c>
      <c r="BB5" s="84">
        <f t="shared" si="0"/>
        <v>25092478.445000004</v>
      </c>
      <c r="BC5" s="84">
        <f t="shared" si="0"/>
        <v>26065110</v>
      </c>
      <c r="BD5" s="84">
        <f t="shared" ref="BD5:BF5" si="1">SUBTOTAL(9,BD7:BD800)</f>
        <v>33509107</v>
      </c>
      <c r="BE5" s="84">
        <f t="shared" si="1"/>
        <v>-7443997</v>
      </c>
      <c r="BF5" s="84">
        <f t="shared" si="1"/>
        <v>-128676.6449999999</v>
      </c>
      <c r="BG5" s="84">
        <f t="shared" ref="BG5:BH5" si="2">SUBTOTAL(9,BG7:BG800)</f>
        <v>11862798.75</v>
      </c>
      <c r="BH5" s="84">
        <f t="shared" si="2"/>
        <v>-11991475.395000001</v>
      </c>
      <c r="BI5" s="90">
        <f>IF(D5=0,"",D5/H5)</f>
        <v>10.033333333333333</v>
      </c>
      <c r="BJ5" s="90">
        <f t="shared" ref="BJ5" si="3">IF(E5=0,"",E5/I5)</f>
        <v>15.821428571428571</v>
      </c>
      <c r="BK5" s="90">
        <f t="shared" ref="BK5" si="4">IF(F5=0,"",F5/J5)</f>
        <v>16.419753086419753</v>
      </c>
      <c r="BL5" s="90">
        <f t="shared" ref="BL5" si="5">IF(G5=0,"",G5/K5)</f>
        <v>13.425051334702259</v>
      </c>
    </row>
    <row r="6" spans="1:64" s="59" customFormat="1">
      <c r="A6" s="69"/>
      <c r="B6" s="70"/>
      <c r="C6" s="70"/>
      <c r="D6" s="71"/>
      <c r="E6" s="73"/>
      <c r="F6" s="71"/>
      <c r="G6" s="71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71"/>
      <c r="T6" s="73"/>
      <c r="U6" s="71"/>
      <c r="V6" s="71"/>
      <c r="W6" s="71"/>
      <c r="X6" s="73"/>
      <c r="Y6" s="71"/>
      <c r="Z6" s="71"/>
      <c r="AA6" s="71"/>
      <c r="AB6" s="73"/>
      <c r="AC6" s="71"/>
      <c r="AD6" s="71"/>
      <c r="AE6" s="71"/>
      <c r="AF6" s="73"/>
      <c r="AG6" s="71"/>
      <c r="AH6" s="71"/>
      <c r="AI6" s="71"/>
      <c r="AJ6" s="73"/>
      <c r="AK6" s="71"/>
      <c r="AL6" s="71"/>
      <c r="AM6" s="71"/>
      <c r="AN6" s="73"/>
      <c r="AO6" s="71"/>
      <c r="AP6" s="71"/>
      <c r="AQ6" s="71"/>
      <c r="AR6" s="73"/>
      <c r="AS6" s="71"/>
      <c r="AT6" s="71"/>
      <c r="AU6" s="71"/>
      <c r="AV6" s="73"/>
      <c r="AW6" s="71"/>
      <c r="AX6" s="71"/>
      <c r="AY6" s="71"/>
      <c r="AZ6" s="73"/>
      <c r="BA6" s="71"/>
      <c r="BB6" s="71"/>
      <c r="BC6" s="71"/>
      <c r="BD6" s="71"/>
      <c r="BE6" s="71"/>
      <c r="BF6" s="71"/>
      <c r="BG6" s="71"/>
      <c r="BH6" s="71"/>
      <c r="BI6" s="45"/>
      <c r="BJ6" s="45"/>
      <c r="BK6" s="45"/>
      <c r="BL6" s="45"/>
    </row>
    <row r="7" spans="1:64" s="59" customFormat="1">
      <c r="A7" s="38">
        <v>1</v>
      </c>
      <c r="B7" s="39" t="s">
        <v>2</v>
      </c>
      <c r="C7" s="40" t="s">
        <v>177</v>
      </c>
      <c r="D7" s="41">
        <v>17</v>
      </c>
      <c r="E7" s="42"/>
      <c r="F7" s="43"/>
      <c r="G7" s="43">
        <f t="shared" ref="G7:G38" si="6">D7+E7+F7</f>
        <v>17</v>
      </c>
      <c r="H7" s="45">
        <v>2</v>
      </c>
      <c r="I7" s="45"/>
      <c r="J7" s="45"/>
      <c r="K7" s="45">
        <f t="shared" ref="K7:K25" si="7">H7+I7+J7</f>
        <v>2</v>
      </c>
      <c r="L7" s="45"/>
      <c r="M7" s="45"/>
      <c r="N7" s="45"/>
      <c r="O7" s="45">
        <f t="shared" ref="O7:O25" si="8">L7+M7+N7</f>
        <v>0</v>
      </c>
      <c r="P7" s="45"/>
      <c r="Q7" s="45"/>
      <c r="R7" s="45"/>
      <c r="S7" s="41">
        <f>H7*14</f>
        <v>28</v>
      </c>
      <c r="T7" s="41">
        <f t="shared" ref="T7:U7" si="9">I7*14</f>
        <v>0</v>
      </c>
      <c r="U7" s="41">
        <f t="shared" si="9"/>
        <v>0</v>
      </c>
      <c r="V7" s="43">
        <f>S7+T7+U7</f>
        <v>28</v>
      </c>
      <c r="W7" s="41">
        <f>S7-D7</f>
        <v>11</v>
      </c>
      <c r="X7" s="41">
        <f t="shared" ref="X7:Y7" si="10">T7-E7</f>
        <v>0</v>
      </c>
      <c r="Y7" s="41">
        <f t="shared" si="10"/>
        <v>0</v>
      </c>
      <c r="Z7" s="43">
        <f>W7+X7+Y7</f>
        <v>11</v>
      </c>
      <c r="AA7" s="81">
        <f>IF(W7&gt;0,W7*0.75,-W7*0.2)</f>
        <v>8.25</v>
      </c>
      <c r="AB7" s="81">
        <f t="shared" ref="AB7:AC7" si="11">IF(X7&gt;0,X7*0.75,-X7*0.2)</f>
        <v>0</v>
      </c>
      <c r="AC7" s="81">
        <f t="shared" si="11"/>
        <v>0</v>
      </c>
      <c r="AD7" s="82">
        <f>AA7+AB7+AC7</f>
        <v>8.25</v>
      </c>
      <c r="AE7" s="81">
        <f>D7+AA7</f>
        <v>25.25</v>
      </c>
      <c r="AF7" s="81">
        <f t="shared" ref="AF7:AG7" si="12">E7+AB7</f>
        <v>0</v>
      </c>
      <c r="AG7" s="81">
        <f t="shared" si="12"/>
        <v>0</v>
      </c>
      <c r="AH7" s="82">
        <f>AE7+AF7+AG7</f>
        <v>25.25</v>
      </c>
      <c r="AI7" s="41">
        <v>19957</v>
      </c>
      <c r="AJ7" s="41">
        <v>33979</v>
      </c>
      <c r="AK7" s="41">
        <v>36287</v>
      </c>
      <c r="AL7" s="43">
        <f>AI7+AJ7+AK7</f>
        <v>90223</v>
      </c>
      <c r="AM7" s="81">
        <f>AA7*AI7</f>
        <v>164645.25</v>
      </c>
      <c r="AN7" s="81">
        <f t="shared" ref="AN7:AO7" si="13">AB7*AJ7</f>
        <v>0</v>
      </c>
      <c r="AO7" s="81">
        <f t="shared" si="13"/>
        <v>0</v>
      </c>
      <c r="AP7" s="82">
        <f>AM7+AN7+AO7</f>
        <v>164645.25</v>
      </c>
      <c r="AQ7" s="41">
        <v>1265</v>
      </c>
      <c r="AR7" s="41">
        <v>1441</v>
      </c>
      <c r="AS7" s="41">
        <v>1827</v>
      </c>
      <c r="AT7" s="43">
        <f>AQ7+AR7+AS7</f>
        <v>4533</v>
      </c>
      <c r="AU7" s="81">
        <f t="shared" ref="AU7" si="14">AA7*AQ7</f>
        <v>10436.25</v>
      </c>
      <c r="AV7" s="81">
        <f t="shared" ref="AV7" si="15">AB7*AR7</f>
        <v>0</v>
      </c>
      <c r="AW7" s="81">
        <f t="shared" ref="AW7" si="16">AC7*AS7</f>
        <v>0</v>
      </c>
      <c r="AX7" s="82">
        <f>AU7+AV7+AW7</f>
        <v>10436.25</v>
      </c>
      <c r="AY7" s="81">
        <f>AM7+AU7</f>
        <v>175081.5</v>
      </c>
      <c r="AZ7" s="81">
        <f t="shared" ref="AZ7:BA7" si="17">AN7+AV7</f>
        <v>0</v>
      </c>
      <c r="BA7" s="81">
        <f t="shared" si="17"/>
        <v>0</v>
      </c>
      <c r="BB7" s="82">
        <f>AY7+AZ7+BA7</f>
        <v>175081.5</v>
      </c>
      <c r="BC7" s="82">
        <v>7098</v>
      </c>
      <c r="BD7" s="82">
        <f>IF(BC7&gt;0,BC7,"")</f>
        <v>7098</v>
      </c>
      <c r="BE7" s="82" t="str">
        <f>IF(BC7&lt;0,BC7,"")</f>
        <v/>
      </c>
      <c r="BF7" s="82">
        <f>BC7-BB7</f>
        <v>-167983.5</v>
      </c>
      <c r="BG7" s="82" t="str">
        <f>IF(BF7&gt;0,BF7,"")</f>
        <v/>
      </c>
      <c r="BH7" s="82">
        <f>IF(BF7&lt;0,BF7,"")</f>
        <v>-167983.5</v>
      </c>
      <c r="BI7" s="90">
        <f>IF(D7=0,"",D7/H7)</f>
        <v>8.5</v>
      </c>
      <c r="BJ7" s="90" t="str">
        <f t="shared" ref="BJ7:BL7" si="18">IF(E7=0,"",E7/I7)</f>
        <v/>
      </c>
      <c r="BK7" s="90" t="str">
        <f t="shared" si="18"/>
        <v/>
      </c>
      <c r="BL7" s="90">
        <f t="shared" si="18"/>
        <v>8.5</v>
      </c>
    </row>
    <row r="8" spans="1:64" s="59" customFormat="1">
      <c r="A8" s="38">
        <v>2</v>
      </c>
      <c r="B8" s="39" t="s">
        <v>3</v>
      </c>
      <c r="C8" s="40" t="s">
        <v>178</v>
      </c>
      <c r="D8" s="41">
        <v>3</v>
      </c>
      <c r="E8" s="42"/>
      <c r="F8" s="43"/>
      <c r="G8" s="43">
        <f t="shared" si="6"/>
        <v>3</v>
      </c>
      <c r="H8" s="45">
        <v>1</v>
      </c>
      <c r="I8" s="45"/>
      <c r="J8" s="45"/>
      <c r="K8" s="45">
        <f t="shared" si="7"/>
        <v>1</v>
      </c>
      <c r="L8" s="45"/>
      <c r="M8" s="45"/>
      <c r="N8" s="45"/>
      <c r="O8" s="45">
        <f t="shared" si="8"/>
        <v>0</v>
      </c>
      <c r="P8" s="45"/>
      <c r="Q8" s="45"/>
      <c r="R8" s="45"/>
      <c r="S8" s="87">
        <f>G8</f>
        <v>3</v>
      </c>
      <c r="T8" s="41">
        <f t="shared" ref="T8:T26" si="19">I8*14</f>
        <v>0</v>
      </c>
      <c r="U8" s="41">
        <f t="shared" ref="U8:U25" si="20">J8*14</f>
        <v>0</v>
      </c>
      <c r="V8" s="43">
        <f t="shared" ref="V8:V26" si="21">S8+T8+U8</f>
        <v>3</v>
      </c>
      <c r="W8" s="41">
        <f t="shared" ref="W8:W71" si="22">S8-D8</f>
        <v>0</v>
      </c>
      <c r="X8" s="41">
        <f t="shared" ref="X8:X71" si="23">T8-E8</f>
        <v>0</v>
      </c>
      <c r="Y8" s="41">
        <f t="shared" ref="Y8:Y71" si="24">U8-F8</f>
        <v>0</v>
      </c>
      <c r="Z8" s="43">
        <f t="shared" ref="Z8:Z71" si="25">W8+X8+Y8</f>
        <v>0</v>
      </c>
      <c r="AA8" s="81">
        <f t="shared" ref="AA8:AA71" si="26">IF(W8&gt;0,W8*0.75,-W8*0.2)</f>
        <v>0</v>
      </c>
      <c r="AB8" s="81">
        <f t="shared" ref="AB8:AB71" si="27">IF(X8&gt;0,X8*0.75,-X8*0.2)</f>
        <v>0</v>
      </c>
      <c r="AC8" s="81">
        <f t="shared" ref="AC8:AC71" si="28">IF(Y8&gt;0,Y8*0.75,-Y8*0.2)</f>
        <v>0</v>
      </c>
      <c r="AD8" s="82">
        <f t="shared" ref="AD8:AD26" si="29">AA8+AB8+AC8</f>
        <v>0</v>
      </c>
      <c r="AE8" s="81">
        <f t="shared" ref="AE8:AE71" si="30">D8+AA8</f>
        <v>3</v>
      </c>
      <c r="AF8" s="81">
        <f t="shared" ref="AF8:AF71" si="31">E8+AB8</f>
        <v>0</v>
      </c>
      <c r="AG8" s="81">
        <f t="shared" ref="AG8:AG71" si="32">F8+AC8</f>
        <v>0</v>
      </c>
      <c r="AH8" s="82">
        <f t="shared" ref="AH8:AH26" si="33">AE8+AF8+AG8</f>
        <v>3</v>
      </c>
      <c r="AI8" s="41">
        <v>19957</v>
      </c>
      <c r="AJ8" s="41">
        <v>33979</v>
      </c>
      <c r="AK8" s="41">
        <v>36287</v>
      </c>
      <c r="AL8" s="43">
        <f t="shared" ref="AL8:AL71" si="34">AI8+AJ8+AK8</f>
        <v>90223</v>
      </c>
      <c r="AM8" s="81">
        <f t="shared" ref="AM8:AM71" si="35">AA8*AI8</f>
        <v>0</v>
      </c>
      <c r="AN8" s="81">
        <f t="shared" ref="AN8:AN71" si="36">AB8*AJ8</f>
        <v>0</v>
      </c>
      <c r="AO8" s="81">
        <f t="shared" ref="AO8:AO71" si="37">AC8*AK8</f>
        <v>0</v>
      </c>
      <c r="AP8" s="82">
        <f t="shared" ref="AP8:AP71" si="38">AM8+AN8+AO8</f>
        <v>0</v>
      </c>
      <c r="AQ8" s="41">
        <v>1265</v>
      </c>
      <c r="AR8" s="41">
        <v>1441</v>
      </c>
      <c r="AS8" s="41">
        <v>1827</v>
      </c>
      <c r="AT8" s="43">
        <f t="shared" ref="AT8:AT71" si="39">AQ8+AR8+AS8</f>
        <v>4533</v>
      </c>
      <c r="AU8" s="81">
        <f t="shared" ref="AU8:AU71" si="40">AA8*AQ8</f>
        <v>0</v>
      </c>
      <c r="AV8" s="81">
        <f t="shared" ref="AV8:AV71" si="41">AB8*AR8</f>
        <v>0</v>
      </c>
      <c r="AW8" s="81">
        <f t="shared" ref="AW8:AW71" si="42">AC8*AS8</f>
        <v>0</v>
      </c>
      <c r="AX8" s="82">
        <f t="shared" ref="AX8:AX71" si="43">AU8+AV8+AW8</f>
        <v>0</v>
      </c>
      <c r="AY8" s="81">
        <f t="shared" ref="AY8:AY71" si="44">AM8+AU8</f>
        <v>0</v>
      </c>
      <c r="AZ8" s="81">
        <f t="shared" ref="AZ8:AZ71" si="45">AN8+AV8</f>
        <v>0</v>
      </c>
      <c r="BA8" s="81">
        <f t="shared" ref="BA8:BA71" si="46">AO8+AW8</f>
        <v>0</v>
      </c>
      <c r="BB8" s="82">
        <f t="shared" ref="BB8:BB71" si="47">AY8+AZ8+BA8</f>
        <v>0</v>
      </c>
      <c r="BC8" s="82">
        <v>18949</v>
      </c>
      <c r="BD8" s="82">
        <f t="shared" ref="BD8:BD71" si="48">IF(BC8&gt;0,BC8,"")</f>
        <v>18949</v>
      </c>
      <c r="BE8" s="82" t="str">
        <f t="shared" ref="BE8:BE71" si="49">IF(BC8&lt;0,BC8,"")</f>
        <v/>
      </c>
      <c r="BF8" s="82">
        <f t="shared" ref="BF8:BF71" si="50">BC8-BB8</f>
        <v>18949</v>
      </c>
      <c r="BG8" s="82">
        <f t="shared" ref="BG8:BG71" si="51">IF(BF8&gt;0,BF8,"")</f>
        <v>18949</v>
      </c>
      <c r="BH8" s="82" t="str">
        <f t="shared" ref="BH8:BH71" si="52">IF(BF8&lt;0,BF8,"")</f>
        <v/>
      </c>
      <c r="BI8" s="90">
        <f t="shared" ref="BI8:BI71" si="53">IF(D8=0,"",D8/H8)</f>
        <v>3</v>
      </c>
      <c r="BJ8" s="90" t="str">
        <f t="shared" ref="BJ8:BJ71" si="54">IF(E8=0,"",E8/I8)</f>
        <v/>
      </c>
      <c r="BK8" s="90" t="str">
        <f t="shared" ref="BK8:BK71" si="55">IF(F8=0,"",F8/J8)</f>
        <v/>
      </c>
      <c r="BL8" s="90">
        <f t="shared" ref="BL8:BL71" si="56">IF(G8=0,"",G8/K8)</f>
        <v>3</v>
      </c>
    </row>
    <row r="9" spans="1:64" s="59" customFormat="1">
      <c r="A9" s="38">
        <v>3</v>
      </c>
      <c r="B9" s="39" t="s">
        <v>4</v>
      </c>
      <c r="C9" s="40" t="s">
        <v>179</v>
      </c>
      <c r="D9" s="41">
        <v>9</v>
      </c>
      <c r="E9" s="42"/>
      <c r="F9" s="43"/>
      <c r="G9" s="43">
        <f t="shared" si="6"/>
        <v>9</v>
      </c>
      <c r="H9" s="45">
        <v>2</v>
      </c>
      <c r="I9" s="45"/>
      <c r="J9" s="45"/>
      <c r="K9" s="45">
        <f t="shared" si="7"/>
        <v>2</v>
      </c>
      <c r="L9" s="45"/>
      <c r="M9" s="45"/>
      <c r="N9" s="45"/>
      <c r="O9" s="45">
        <f t="shared" si="8"/>
        <v>0</v>
      </c>
      <c r="P9" s="45"/>
      <c r="Q9" s="45"/>
      <c r="R9" s="45"/>
      <c r="S9" s="87">
        <f>G9</f>
        <v>9</v>
      </c>
      <c r="T9" s="41">
        <f t="shared" si="19"/>
        <v>0</v>
      </c>
      <c r="U9" s="41">
        <f t="shared" si="20"/>
        <v>0</v>
      </c>
      <c r="V9" s="43">
        <f t="shared" si="21"/>
        <v>9</v>
      </c>
      <c r="W9" s="41">
        <f t="shared" si="22"/>
        <v>0</v>
      </c>
      <c r="X9" s="41">
        <f t="shared" si="23"/>
        <v>0</v>
      </c>
      <c r="Y9" s="41">
        <f t="shared" si="24"/>
        <v>0</v>
      </c>
      <c r="Z9" s="43">
        <f t="shared" si="25"/>
        <v>0</v>
      </c>
      <c r="AA9" s="81">
        <f t="shared" si="26"/>
        <v>0</v>
      </c>
      <c r="AB9" s="81">
        <f t="shared" si="27"/>
        <v>0</v>
      </c>
      <c r="AC9" s="81">
        <f t="shared" si="28"/>
        <v>0</v>
      </c>
      <c r="AD9" s="82">
        <f t="shared" si="29"/>
        <v>0</v>
      </c>
      <c r="AE9" s="81">
        <f t="shared" si="30"/>
        <v>9</v>
      </c>
      <c r="AF9" s="81">
        <f t="shared" si="31"/>
        <v>0</v>
      </c>
      <c r="AG9" s="81">
        <f t="shared" si="32"/>
        <v>0</v>
      </c>
      <c r="AH9" s="82">
        <f t="shared" si="33"/>
        <v>9</v>
      </c>
      <c r="AI9" s="41">
        <v>19957</v>
      </c>
      <c r="AJ9" s="41">
        <v>33979</v>
      </c>
      <c r="AK9" s="41">
        <v>36287</v>
      </c>
      <c r="AL9" s="43">
        <f t="shared" si="34"/>
        <v>90223</v>
      </c>
      <c r="AM9" s="81">
        <f t="shared" si="35"/>
        <v>0</v>
      </c>
      <c r="AN9" s="81">
        <f t="shared" si="36"/>
        <v>0</v>
      </c>
      <c r="AO9" s="81">
        <f t="shared" si="37"/>
        <v>0</v>
      </c>
      <c r="AP9" s="82">
        <f t="shared" si="38"/>
        <v>0</v>
      </c>
      <c r="AQ9" s="41">
        <v>1265</v>
      </c>
      <c r="AR9" s="41">
        <v>1441</v>
      </c>
      <c r="AS9" s="41">
        <v>1827</v>
      </c>
      <c r="AT9" s="43">
        <f t="shared" si="39"/>
        <v>4533</v>
      </c>
      <c r="AU9" s="81">
        <f t="shared" si="40"/>
        <v>0</v>
      </c>
      <c r="AV9" s="81">
        <f t="shared" si="41"/>
        <v>0</v>
      </c>
      <c r="AW9" s="81">
        <f t="shared" si="42"/>
        <v>0</v>
      </c>
      <c r="AX9" s="82">
        <f t="shared" si="43"/>
        <v>0</v>
      </c>
      <c r="AY9" s="81">
        <f t="shared" si="44"/>
        <v>0</v>
      </c>
      <c r="AZ9" s="81">
        <f t="shared" si="45"/>
        <v>0</v>
      </c>
      <c r="BA9" s="81">
        <f t="shared" si="46"/>
        <v>0</v>
      </c>
      <c r="BB9" s="82">
        <f t="shared" si="47"/>
        <v>0</v>
      </c>
      <c r="BC9" s="82">
        <v>16798</v>
      </c>
      <c r="BD9" s="82">
        <f t="shared" si="48"/>
        <v>16798</v>
      </c>
      <c r="BE9" s="82" t="str">
        <f t="shared" si="49"/>
        <v/>
      </c>
      <c r="BF9" s="82">
        <f t="shared" si="50"/>
        <v>16798</v>
      </c>
      <c r="BG9" s="82">
        <f t="shared" si="51"/>
        <v>16798</v>
      </c>
      <c r="BH9" s="82" t="str">
        <f t="shared" si="52"/>
        <v/>
      </c>
      <c r="BI9" s="90">
        <f t="shared" si="53"/>
        <v>4.5</v>
      </c>
      <c r="BJ9" s="90" t="str">
        <f t="shared" si="54"/>
        <v/>
      </c>
      <c r="BK9" s="90" t="str">
        <f t="shared" si="55"/>
        <v/>
      </c>
      <c r="BL9" s="90">
        <f t="shared" si="56"/>
        <v>4.5</v>
      </c>
    </row>
    <row r="10" spans="1:64" s="59" customFormat="1">
      <c r="A10" s="38">
        <v>4</v>
      </c>
      <c r="B10" s="39" t="s">
        <v>5</v>
      </c>
      <c r="C10" s="40" t="s">
        <v>180</v>
      </c>
      <c r="D10" s="41">
        <v>38</v>
      </c>
      <c r="E10" s="42"/>
      <c r="F10" s="43"/>
      <c r="G10" s="43">
        <f t="shared" si="6"/>
        <v>38</v>
      </c>
      <c r="H10" s="45">
        <v>4</v>
      </c>
      <c r="I10" s="45"/>
      <c r="J10" s="45"/>
      <c r="K10" s="45">
        <f t="shared" si="7"/>
        <v>4</v>
      </c>
      <c r="L10" s="45"/>
      <c r="M10" s="45"/>
      <c r="N10" s="45"/>
      <c r="O10" s="45">
        <f t="shared" si="8"/>
        <v>0</v>
      </c>
      <c r="P10" s="45"/>
      <c r="Q10" s="45"/>
      <c r="R10" s="45"/>
      <c r="S10" s="41">
        <f t="shared" ref="S10:S26" si="57">H10*14</f>
        <v>56</v>
      </c>
      <c r="T10" s="41">
        <f t="shared" si="19"/>
        <v>0</v>
      </c>
      <c r="U10" s="41">
        <f t="shared" si="20"/>
        <v>0</v>
      </c>
      <c r="V10" s="43">
        <f t="shared" si="21"/>
        <v>56</v>
      </c>
      <c r="W10" s="41">
        <f t="shared" si="22"/>
        <v>18</v>
      </c>
      <c r="X10" s="41">
        <f t="shared" si="23"/>
        <v>0</v>
      </c>
      <c r="Y10" s="41">
        <f t="shared" si="24"/>
        <v>0</v>
      </c>
      <c r="Z10" s="43">
        <f t="shared" si="25"/>
        <v>18</v>
      </c>
      <c r="AA10" s="81">
        <f t="shared" si="26"/>
        <v>13.5</v>
      </c>
      <c r="AB10" s="81">
        <f t="shared" si="27"/>
        <v>0</v>
      </c>
      <c r="AC10" s="81">
        <f t="shared" si="28"/>
        <v>0</v>
      </c>
      <c r="AD10" s="82">
        <f t="shared" si="29"/>
        <v>13.5</v>
      </c>
      <c r="AE10" s="81">
        <f t="shared" si="30"/>
        <v>51.5</v>
      </c>
      <c r="AF10" s="81">
        <f t="shared" si="31"/>
        <v>0</v>
      </c>
      <c r="AG10" s="81">
        <f t="shared" si="32"/>
        <v>0</v>
      </c>
      <c r="AH10" s="82">
        <f t="shared" si="33"/>
        <v>51.5</v>
      </c>
      <c r="AI10" s="41">
        <v>19957</v>
      </c>
      <c r="AJ10" s="41">
        <v>33979</v>
      </c>
      <c r="AK10" s="41">
        <v>36287</v>
      </c>
      <c r="AL10" s="43">
        <f t="shared" si="34"/>
        <v>90223</v>
      </c>
      <c r="AM10" s="81">
        <f t="shared" si="35"/>
        <v>269419.5</v>
      </c>
      <c r="AN10" s="81">
        <f t="shared" si="36"/>
        <v>0</v>
      </c>
      <c r="AO10" s="81">
        <f t="shared" si="37"/>
        <v>0</v>
      </c>
      <c r="AP10" s="82">
        <f t="shared" si="38"/>
        <v>269419.5</v>
      </c>
      <c r="AQ10" s="41">
        <v>1265</v>
      </c>
      <c r="AR10" s="41">
        <v>1441</v>
      </c>
      <c r="AS10" s="41">
        <v>1827</v>
      </c>
      <c r="AT10" s="43">
        <f t="shared" si="39"/>
        <v>4533</v>
      </c>
      <c r="AU10" s="81">
        <f t="shared" si="40"/>
        <v>17077.5</v>
      </c>
      <c r="AV10" s="81">
        <f t="shared" si="41"/>
        <v>0</v>
      </c>
      <c r="AW10" s="81">
        <f t="shared" si="42"/>
        <v>0</v>
      </c>
      <c r="AX10" s="82">
        <f t="shared" si="43"/>
        <v>17077.5</v>
      </c>
      <c r="AY10" s="81">
        <f t="shared" si="44"/>
        <v>286497</v>
      </c>
      <c r="AZ10" s="81">
        <f t="shared" si="45"/>
        <v>0</v>
      </c>
      <c r="BA10" s="81">
        <f t="shared" si="46"/>
        <v>0</v>
      </c>
      <c r="BB10" s="82">
        <f t="shared" si="47"/>
        <v>286497</v>
      </c>
      <c r="BC10" s="82">
        <v>266372</v>
      </c>
      <c r="BD10" s="82">
        <f t="shared" si="48"/>
        <v>266372</v>
      </c>
      <c r="BE10" s="82" t="str">
        <f t="shared" si="49"/>
        <v/>
      </c>
      <c r="BF10" s="82">
        <f t="shared" si="50"/>
        <v>-20125</v>
      </c>
      <c r="BG10" s="82" t="str">
        <f t="shared" si="51"/>
        <v/>
      </c>
      <c r="BH10" s="82">
        <f t="shared" si="52"/>
        <v>-20125</v>
      </c>
      <c r="BI10" s="90">
        <f t="shared" si="53"/>
        <v>9.5</v>
      </c>
      <c r="BJ10" s="90" t="str">
        <f t="shared" si="54"/>
        <v/>
      </c>
      <c r="BK10" s="90" t="str">
        <f t="shared" si="55"/>
        <v/>
      </c>
      <c r="BL10" s="90">
        <f t="shared" si="56"/>
        <v>9.5</v>
      </c>
    </row>
    <row r="11" spans="1:64" s="59" customFormat="1">
      <c r="A11" s="38">
        <v>5</v>
      </c>
      <c r="B11" s="39" t="s">
        <v>46</v>
      </c>
      <c r="C11" s="40" t="s">
        <v>181</v>
      </c>
      <c r="D11" s="41">
        <v>25</v>
      </c>
      <c r="E11" s="42">
        <v>49</v>
      </c>
      <c r="F11" s="43">
        <v>29</v>
      </c>
      <c r="G11" s="43">
        <f t="shared" si="6"/>
        <v>103</v>
      </c>
      <c r="H11" s="45">
        <v>2</v>
      </c>
      <c r="I11" s="45">
        <v>5</v>
      </c>
      <c r="J11" s="45">
        <v>2</v>
      </c>
      <c r="K11" s="45">
        <f t="shared" si="7"/>
        <v>9</v>
      </c>
      <c r="L11" s="45"/>
      <c r="M11" s="45">
        <v>1</v>
      </c>
      <c r="N11" s="45"/>
      <c r="O11" s="45">
        <f t="shared" si="8"/>
        <v>1</v>
      </c>
      <c r="P11" s="45">
        <v>1</v>
      </c>
      <c r="Q11" s="45">
        <v>25</v>
      </c>
      <c r="R11" s="45"/>
      <c r="S11" s="41">
        <f t="shared" si="57"/>
        <v>28</v>
      </c>
      <c r="T11" s="41">
        <f t="shared" si="19"/>
        <v>70</v>
      </c>
      <c r="U11" s="41">
        <f t="shared" si="20"/>
        <v>28</v>
      </c>
      <c r="V11" s="43">
        <f t="shared" si="21"/>
        <v>126</v>
      </c>
      <c r="W11" s="41">
        <f t="shared" si="22"/>
        <v>3</v>
      </c>
      <c r="X11" s="41">
        <f t="shared" si="23"/>
        <v>21</v>
      </c>
      <c r="Y11" s="41">
        <f t="shared" si="24"/>
        <v>-1</v>
      </c>
      <c r="Z11" s="43">
        <f t="shared" si="25"/>
        <v>23</v>
      </c>
      <c r="AA11" s="81">
        <f t="shared" si="26"/>
        <v>2.25</v>
      </c>
      <c r="AB11" s="81">
        <f t="shared" si="27"/>
        <v>15.75</v>
      </c>
      <c r="AC11" s="81">
        <f t="shared" si="28"/>
        <v>0.2</v>
      </c>
      <c r="AD11" s="82">
        <f t="shared" si="29"/>
        <v>18.2</v>
      </c>
      <c r="AE11" s="81">
        <f t="shared" si="30"/>
        <v>27.25</v>
      </c>
      <c r="AF11" s="81">
        <f t="shared" si="31"/>
        <v>64.75</v>
      </c>
      <c r="AG11" s="81">
        <f t="shared" si="32"/>
        <v>29.2</v>
      </c>
      <c r="AH11" s="82">
        <f t="shared" si="33"/>
        <v>121.2</v>
      </c>
      <c r="AI11" s="41">
        <v>19957</v>
      </c>
      <c r="AJ11" s="41">
        <v>33979</v>
      </c>
      <c r="AK11" s="41">
        <v>36287</v>
      </c>
      <c r="AL11" s="43">
        <f t="shared" si="34"/>
        <v>90223</v>
      </c>
      <c r="AM11" s="81">
        <f t="shared" si="35"/>
        <v>44903.25</v>
      </c>
      <c r="AN11" s="81">
        <f t="shared" si="36"/>
        <v>535169.25</v>
      </c>
      <c r="AO11" s="81">
        <f t="shared" si="37"/>
        <v>7257.4000000000005</v>
      </c>
      <c r="AP11" s="82">
        <f t="shared" si="38"/>
        <v>587329.9</v>
      </c>
      <c r="AQ11" s="41">
        <v>1265</v>
      </c>
      <c r="AR11" s="41">
        <v>1441</v>
      </c>
      <c r="AS11" s="41">
        <v>1827</v>
      </c>
      <c r="AT11" s="43">
        <f t="shared" si="39"/>
        <v>4533</v>
      </c>
      <c r="AU11" s="81">
        <f t="shared" si="40"/>
        <v>2846.25</v>
      </c>
      <c r="AV11" s="81">
        <f t="shared" si="41"/>
        <v>22695.75</v>
      </c>
      <c r="AW11" s="81">
        <f t="shared" si="42"/>
        <v>365.40000000000003</v>
      </c>
      <c r="AX11" s="82">
        <f t="shared" si="43"/>
        <v>25907.4</v>
      </c>
      <c r="AY11" s="81">
        <f t="shared" si="44"/>
        <v>47749.5</v>
      </c>
      <c r="AZ11" s="81">
        <f t="shared" si="45"/>
        <v>557865</v>
      </c>
      <c r="BA11" s="81">
        <f t="shared" si="46"/>
        <v>7622.8</v>
      </c>
      <c r="BB11" s="82">
        <f t="shared" si="47"/>
        <v>613237.30000000005</v>
      </c>
      <c r="BC11" s="82">
        <v>811644</v>
      </c>
      <c r="BD11" s="82">
        <f t="shared" si="48"/>
        <v>811644</v>
      </c>
      <c r="BE11" s="82" t="str">
        <f t="shared" si="49"/>
        <v/>
      </c>
      <c r="BF11" s="82">
        <f t="shared" si="50"/>
        <v>198406.69999999995</v>
      </c>
      <c r="BG11" s="82">
        <f t="shared" si="51"/>
        <v>198406.69999999995</v>
      </c>
      <c r="BH11" s="82" t="str">
        <f t="shared" si="52"/>
        <v/>
      </c>
      <c r="BI11" s="90">
        <f t="shared" si="53"/>
        <v>12.5</v>
      </c>
      <c r="BJ11" s="90">
        <f t="shared" si="54"/>
        <v>9.8000000000000007</v>
      </c>
      <c r="BK11" s="90">
        <f t="shared" si="55"/>
        <v>14.5</v>
      </c>
      <c r="BL11" s="90">
        <f t="shared" si="56"/>
        <v>11.444444444444445</v>
      </c>
    </row>
    <row r="12" spans="1:64" s="59" customFormat="1">
      <c r="A12" s="38">
        <v>6</v>
      </c>
      <c r="B12" s="39" t="s">
        <v>6</v>
      </c>
      <c r="C12" s="40" t="s">
        <v>182</v>
      </c>
      <c r="D12" s="41">
        <v>2</v>
      </c>
      <c r="E12" s="42"/>
      <c r="F12" s="43"/>
      <c r="G12" s="43">
        <f t="shared" si="6"/>
        <v>2</v>
      </c>
      <c r="H12" s="45">
        <v>1</v>
      </c>
      <c r="I12" s="45"/>
      <c r="J12" s="45"/>
      <c r="K12" s="45">
        <f t="shared" si="7"/>
        <v>1</v>
      </c>
      <c r="L12" s="45"/>
      <c r="M12" s="45"/>
      <c r="N12" s="45"/>
      <c r="O12" s="45">
        <f t="shared" si="8"/>
        <v>0</v>
      </c>
      <c r="P12" s="45"/>
      <c r="Q12" s="45"/>
      <c r="R12" s="45"/>
      <c r="S12" s="87">
        <f t="shared" ref="S12:S13" si="58">G12</f>
        <v>2</v>
      </c>
      <c r="T12" s="41">
        <f t="shared" si="19"/>
        <v>0</v>
      </c>
      <c r="U12" s="41">
        <f t="shared" si="20"/>
        <v>0</v>
      </c>
      <c r="V12" s="43">
        <f t="shared" si="21"/>
        <v>2</v>
      </c>
      <c r="W12" s="41">
        <f t="shared" si="22"/>
        <v>0</v>
      </c>
      <c r="X12" s="41">
        <f t="shared" si="23"/>
        <v>0</v>
      </c>
      <c r="Y12" s="41">
        <f t="shared" si="24"/>
        <v>0</v>
      </c>
      <c r="Z12" s="43">
        <f t="shared" si="25"/>
        <v>0</v>
      </c>
      <c r="AA12" s="81">
        <f t="shared" si="26"/>
        <v>0</v>
      </c>
      <c r="AB12" s="81">
        <f t="shared" si="27"/>
        <v>0</v>
      </c>
      <c r="AC12" s="81">
        <f t="shared" si="28"/>
        <v>0</v>
      </c>
      <c r="AD12" s="82">
        <f t="shared" si="29"/>
        <v>0</v>
      </c>
      <c r="AE12" s="81">
        <f t="shared" si="30"/>
        <v>2</v>
      </c>
      <c r="AF12" s="81">
        <f t="shared" si="31"/>
        <v>0</v>
      </c>
      <c r="AG12" s="81">
        <f t="shared" si="32"/>
        <v>0</v>
      </c>
      <c r="AH12" s="82">
        <f t="shared" si="33"/>
        <v>2</v>
      </c>
      <c r="AI12" s="41">
        <v>19957</v>
      </c>
      <c r="AJ12" s="41">
        <v>33979</v>
      </c>
      <c r="AK12" s="41">
        <v>36287</v>
      </c>
      <c r="AL12" s="43">
        <f t="shared" si="34"/>
        <v>90223</v>
      </c>
      <c r="AM12" s="81">
        <f t="shared" si="35"/>
        <v>0</v>
      </c>
      <c r="AN12" s="81">
        <f t="shared" si="36"/>
        <v>0</v>
      </c>
      <c r="AO12" s="81">
        <f t="shared" si="37"/>
        <v>0</v>
      </c>
      <c r="AP12" s="82">
        <f t="shared" si="38"/>
        <v>0</v>
      </c>
      <c r="AQ12" s="41">
        <v>1265</v>
      </c>
      <c r="AR12" s="41">
        <v>1441</v>
      </c>
      <c r="AS12" s="41">
        <v>1827</v>
      </c>
      <c r="AT12" s="43">
        <f t="shared" si="39"/>
        <v>4533</v>
      </c>
      <c r="AU12" s="81">
        <f t="shared" si="40"/>
        <v>0</v>
      </c>
      <c r="AV12" s="81">
        <f t="shared" si="41"/>
        <v>0</v>
      </c>
      <c r="AW12" s="81">
        <f t="shared" si="42"/>
        <v>0</v>
      </c>
      <c r="AX12" s="82">
        <f t="shared" si="43"/>
        <v>0</v>
      </c>
      <c r="AY12" s="81">
        <f t="shared" si="44"/>
        <v>0</v>
      </c>
      <c r="AZ12" s="81">
        <f t="shared" si="45"/>
        <v>0</v>
      </c>
      <c r="BA12" s="81">
        <f t="shared" si="46"/>
        <v>0</v>
      </c>
      <c r="BB12" s="82">
        <f t="shared" si="47"/>
        <v>0</v>
      </c>
      <c r="BC12" s="82">
        <v>-60502</v>
      </c>
      <c r="BD12" s="82" t="str">
        <f t="shared" si="48"/>
        <v/>
      </c>
      <c r="BE12" s="82">
        <f t="shared" si="49"/>
        <v>-60502</v>
      </c>
      <c r="BF12" s="82">
        <f t="shared" si="50"/>
        <v>-60502</v>
      </c>
      <c r="BG12" s="82" t="str">
        <f t="shared" si="51"/>
        <v/>
      </c>
      <c r="BH12" s="82">
        <f t="shared" si="52"/>
        <v>-60502</v>
      </c>
      <c r="BI12" s="90">
        <f t="shared" si="53"/>
        <v>2</v>
      </c>
      <c r="BJ12" s="90" t="str">
        <f t="shared" si="54"/>
        <v/>
      </c>
      <c r="BK12" s="90" t="str">
        <f t="shared" si="55"/>
        <v/>
      </c>
      <c r="BL12" s="90">
        <f t="shared" si="56"/>
        <v>2</v>
      </c>
    </row>
    <row r="13" spans="1:64" s="59" customFormat="1">
      <c r="A13" s="38">
        <v>7</v>
      </c>
      <c r="B13" s="39" t="s">
        <v>7</v>
      </c>
      <c r="C13" s="40" t="s">
        <v>183</v>
      </c>
      <c r="D13" s="41">
        <v>15</v>
      </c>
      <c r="E13" s="42"/>
      <c r="F13" s="43"/>
      <c r="G13" s="43">
        <f t="shared" si="6"/>
        <v>15</v>
      </c>
      <c r="H13" s="45">
        <v>3</v>
      </c>
      <c r="I13" s="45"/>
      <c r="J13" s="45"/>
      <c r="K13" s="45">
        <f t="shared" si="7"/>
        <v>3</v>
      </c>
      <c r="L13" s="45"/>
      <c r="M13" s="45"/>
      <c r="N13" s="45"/>
      <c r="O13" s="45">
        <f t="shared" si="8"/>
        <v>0</v>
      </c>
      <c r="P13" s="45"/>
      <c r="Q13" s="45"/>
      <c r="R13" s="45"/>
      <c r="S13" s="87">
        <f t="shared" si="58"/>
        <v>15</v>
      </c>
      <c r="T13" s="41">
        <f t="shared" si="19"/>
        <v>0</v>
      </c>
      <c r="U13" s="41">
        <f t="shared" si="20"/>
        <v>0</v>
      </c>
      <c r="V13" s="43">
        <f t="shared" si="21"/>
        <v>15</v>
      </c>
      <c r="W13" s="41">
        <f t="shared" si="22"/>
        <v>0</v>
      </c>
      <c r="X13" s="41">
        <f t="shared" si="23"/>
        <v>0</v>
      </c>
      <c r="Y13" s="41">
        <f t="shared" si="24"/>
        <v>0</v>
      </c>
      <c r="Z13" s="43">
        <f t="shared" si="25"/>
        <v>0</v>
      </c>
      <c r="AA13" s="81">
        <f t="shared" si="26"/>
        <v>0</v>
      </c>
      <c r="AB13" s="81">
        <f t="shared" si="27"/>
        <v>0</v>
      </c>
      <c r="AC13" s="81">
        <f t="shared" si="28"/>
        <v>0</v>
      </c>
      <c r="AD13" s="82">
        <f t="shared" si="29"/>
        <v>0</v>
      </c>
      <c r="AE13" s="81">
        <f t="shared" si="30"/>
        <v>15</v>
      </c>
      <c r="AF13" s="81">
        <f t="shared" si="31"/>
        <v>0</v>
      </c>
      <c r="AG13" s="81">
        <f t="shared" si="32"/>
        <v>0</v>
      </c>
      <c r="AH13" s="82">
        <f t="shared" si="33"/>
        <v>15</v>
      </c>
      <c r="AI13" s="41">
        <v>19957</v>
      </c>
      <c r="AJ13" s="41">
        <v>33979</v>
      </c>
      <c r="AK13" s="41">
        <v>36287</v>
      </c>
      <c r="AL13" s="43">
        <f t="shared" si="34"/>
        <v>90223</v>
      </c>
      <c r="AM13" s="81">
        <f t="shared" si="35"/>
        <v>0</v>
      </c>
      <c r="AN13" s="81">
        <f t="shared" si="36"/>
        <v>0</v>
      </c>
      <c r="AO13" s="81">
        <f t="shared" si="37"/>
        <v>0</v>
      </c>
      <c r="AP13" s="82">
        <f t="shared" si="38"/>
        <v>0</v>
      </c>
      <c r="AQ13" s="41">
        <v>1265</v>
      </c>
      <c r="AR13" s="41">
        <v>1441</v>
      </c>
      <c r="AS13" s="41">
        <v>1827</v>
      </c>
      <c r="AT13" s="43">
        <f t="shared" si="39"/>
        <v>4533</v>
      </c>
      <c r="AU13" s="81">
        <f t="shared" si="40"/>
        <v>0</v>
      </c>
      <c r="AV13" s="81">
        <f t="shared" si="41"/>
        <v>0</v>
      </c>
      <c r="AW13" s="81">
        <f t="shared" si="42"/>
        <v>0</v>
      </c>
      <c r="AX13" s="82">
        <f t="shared" si="43"/>
        <v>0</v>
      </c>
      <c r="AY13" s="81">
        <f t="shared" si="44"/>
        <v>0</v>
      </c>
      <c r="AZ13" s="81">
        <f t="shared" si="45"/>
        <v>0</v>
      </c>
      <c r="BA13" s="81">
        <f t="shared" si="46"/>
        <v>0</v>
      </c>
      <c r="BB13" s="82">
        <f t="shared" si="47"/>
        <v>0</v>
      </c>
      <c r="BC13" s="82">
        <v>74947</v>
      </c>
      <c r="BD13" s="82">
        <f t="shared" si="48"/>
        <v>74947</v>
      </c>
      <c r="BE13" s="82" t="str">
        <f t="shared" si="49"/>
        <v/>
      </c>
      <c r="BF13" s="82">
        <f t="shared" si="50"/>
        <v>74947</v>
      </c>
      <c r="BG13" s="82">
        <f t="shared" si="51"/>
        <v>74947</v>
      </c>
      <c r="BH13" s="82" t="str">
        <f t="shared" si="52"/>
        <v/>
      </c>
      <c r="BI13" s="90">
        <f t="shared" si="53"/>
        <v>5</v>
      </c>
      <c r="BJ13" s="90" t="str">
        <f t="shared" si="54"/>
        <v/>
      </c>
      <c r="BK13" s="90" t="str">
        <f t="shared" si="55"/>
        <v/>
      </c>
      <c r="BL13" s="90">
        <f t="shared" si="56"/>
        <v>5</v>
      </c>
    </row>
    <row r="14" spans="1:64" s="59" customFormat="1">
      <c r="A14" s="38">
        <v>8</v>
      </c>
      <c r="B14" s="39" t="s">
        <v>47</v>
      </c>
      <c r="C14" s="40" t="s">
        <v>184</v>
      </c>
      <c r="D14" s="41">
        <v>13</v>
      </c>
      <c r="E14" s="42">
        <v>30</v>
      </c>
      <c r="F14" s="43">
        <v>12</v>
      </c>
      <c r="G14" s="43">
        <f t="shared" si="6"/>
        <v>55</v>
      </c>
      <c r="H14" s="45">
        <v>2</v>
      </c>
      <c r="I14" s="45">
        <v>5</v>
      </c>
      <c r="J14" s="45">
        <v>2</v>
      </c>
      <c r="K14" s="45">
        <f t="shared" si="7"/>
        <v>9</v>
      </c>
      <c r="L14" s="45"/>
      <c r="M14" s="45"/>
      <c r="N14" s="45"/>
      <c r="O14" s="45">
        <f t="shared" si="8"/>
        <v>0</v>
      </c>
      <c r="P14" s="45">
        <v>1</v>
      </c>
      <c r="Q14" s="45">
        <v>23</v>
      </c>
      <c r="R14" s="45"/>
      <c r="S14" s="41">
        <f t="shared" si="57"/>
        <v>28</v>
      </c>
      <c r="T14" s="41">
        <f t="shared" si="19"/>
        <v>70</v>
      </c>
      <c r="U14" s="41">
        <f t="shared" si="20"/>
        <v>28</v>
      </c>
      <c r="V14" s="43">
        <f t="shared" si="21"/>
        <v>126</v>
      </c>
      <c r="W14" s="41">
        <f t="shared" si="22"/>
        <v>15</v>
      </c>
      <c r="X14" s="41">
        <f t="shared" si="23"/>
        <v>40</v>
      </c>
      <c r="Y14" s="41">
        <f t="shared" si="24"/>
        <v>16</v>
      </c>
      <c r="Z14" s="43">
        <f t="shared" si="25"/>
        <v>71</v>
      </c>
      <c r="AA14" s="81">
        <f t="shared" si="26"/>
        <v>11.25</v>
      </c>
      <c r="AB14" s="81">
        <f t="shared" si="27"/>
        <v>30</v>
      </c>
      <c r="AC14" s="81">
        <f t="shared" si="28"/>
        <v>12</v>
      </c>
      <c r="AD14" s="82">
        <f t="shared" si="29"/>
        <v>53.25</v>
      </c>
      <c r="AE14" s="81">
        <f t="shared" si="30"/>
        <v>24.25</v>
      </c>
      <c r="AF14" s="81">
        <f t="shared" si="31"/>
        <v>60</v>
      </c>
      <c r="AG14" s="81">
        <f t="shared" si="32"/>
        <v>24</v>
      </c>
      <c r="AH14" s="82">
        <f t="shared" si="33"/>
        <v>108.25</v>
      </c>
      <c r="AI14" s="41">
        <v>19957</v>
      </c>
      <c r="AJ14" s="41">
        <v>33979</v>
      </c>
      <c r="AK14" s="41">
        <v>36287</v>
      </c>
      <c r="AL14" s="43">
        <f t="shared" si="34"/>
        <v>90223</v>
      </c>
      <c r="AM14" s="81">
        <f t="shared" si="35"/>
        <v>224516.25</v>
      </c>
      <c r="AN14" s="81">
        <f t="shared" si="36"/>
        <v>1019370</v>
      </c>
      <c r="AO14" s="81">
        <f t="shared" si="37"/>
        <v>435444</v>
      </c>
      <c r="AP14" s="82">
        <f t="shared" si="38"/>
        <v>1679330.25</v>
      </c>
      <c r="AQ14" s="41">
        <v>1265</v>
      </c>
      <c r="AR14" s="41">
        <v>1441</v>
      </c>
      <c r="AS14" s="41">
        <v>1827</v>
      </c>
      <c r="AT14" s="43">
        <f t="shared" si="39"/>
        <v>4533</v>
      </c>
      <c r="AU14" s="81">
        <f t="shared" si="40"/>
        <v>14231.25</v>
      </c>
      <c r="AV14" s="81">
        <f t="shared" si="41"/>
        <v>43230</v>
      </c>
      <c r="AW14" s="81">
        <f t="shared" si="42"/>
        <v>21924</v>
      </c>
      <c r="AX14" s="82">
        <f t="shared" si="43"/>
        <v>79385.25</v>
      </c>
      <c r="AY14" s="81">
        <f t="shared" si="44"/>
        <v>238747.5</v>
      </c>
      <c r="AZ14" s="81">
        <f t="shared" si="45"/>
        <v>1062600</v>
      </c>
      <c r="BA14" s="81">
        <f t="shared" si="46"/>
        <v>457368</v>
      </c>
      <c r="BB14" s="82">
        <f t="shared" si="47"/>
        <v>1758715.5</v>
      </c>
      <c r="BC14" s="82">
        <v>2780600</v>
      </c>
      <c r="BD14" s="82">
        <f t="shared" si="48"/>
        <v>2780600</v>
      </c>
      <c r="BE14" s="82" t="str">
        <f t="shared" si="49"/>
        <v/>
      </c>
      <c r="BF14" s="82">
        <f t="shared" si="50"/>
        <v>1021884.5</v>
      </c>
      <c r="BG14" s="82">
        <f t="shared" si="51"/>
        <v>1021884.5</v>
      </c>
      <c r="BH14" s="82" t="str">
        <f t="shared" si="52"/>
        <v/>
      </c>
      <c r="BI14" s="90">
        <f t="shared" si="53"/>
        <v>6.5</v>
      </c>
      <c r="BJ14" s="90">
        <f t="shared" si="54"/>
        <v>6</v>
      </c>
      <c r="BK14" s="90">
        <f t="shared" si="55"/>
        <v>6</v>
      </c>
      <c r="BL14" s="90">
        <f t="shared" si="56"/>
        <v>6.1111111111111107</v>
      </c>
    </row>
    <row r="15" spans="1:64" s="59" customFormat="1">
      <c r="A15" s="38">
        <v>9</v>
      </c>
      <c r="B15" s="39" t="s">
        <v>8</v>
      </c>
      <c r="C15" s="40" t="s">
        <v>185</v>
      </c>
      <c r="D15" s="41">
        <v>7</v>
      </c>
      <c r="E15" s="42"/>
      <c r="F15" s="43"/>
      <c r="G15" s="43">
        <f t="shared" si="6"/>
        <v>7</v>
      </c>
      <c r="H15" s="45">
        <v>2</v>
      </c>
      <c r="I15" s="45"/>
      <c r="J15" s="45"/>
      <c r="K15" s="45">
        <f t="shared" si="7"/>
        <v>2</v>
      </c>
      <c r="L15" s="45"/>
      <c r="M15" s="45"/>
      <c r="N15" s="45"/>
      <c r="O15" s="45">
        <f t="shared" si="8"/>
        <v>0</v>
      </c>
      <c r="P15" s="45"/>
      <c r="Q15" s="45"/>
      <c r="R15" s="45"/>
      <c r="S15" s="87">
        <f>G15</f>
        <v>7</v>
      </c>
      <c r="T15" s="41">
        <f t="shared" si="19"/>
        <v>0</v>
      </c>
      <c r="U15" s="41">
        <f t="shared" si="20"/>
        <v>0</v>
      </c>
      <c r="V15" s="43">
        <f t="shared" si="21"/>
        <v>7</v>
      </c>
      <c r="W15" s="41">
        <f t="shared" si="22"/>
        <v>0</v>
      </c>
      <c r="X15" s="41">
        <f t="shared" si="23"/>
        <v>0</v>
      </c>
      <c r="Y15" s="41">
        <f t="shared" si="24"/>
        <v>0</v>
      </c>
      <c r="Z15" s="43">
        <f t="shared" si="25"/>
        <v>0</v>
      </c>
      <c r="AA15" s="81">
        <f t="shared" si="26"/>
        <v>0</v>
      </c>
      <c r="AB15" s="81">
        <f t="shared" si="27"/>
        <v>0</v>
      </c>
      <c r="AC15" s="81">
        <f t="shared" si="28"/>
        <v>0</v>
      </c>
      <c r="AD15" s="82">
        <f t="shared" si="29"/>
        <v>0</v>
      </c>
      <c r="AE15" s="81">
        <f t="shared" si="30"/>
        <v>7</v>
      </c>
      <c r="AF15" s="81">
        <f t="shared" si="31"/>
        <v>0</v>
      </c>
      <c r="AG15" s="81">
        <f t="shared" si="32"/>
        <v>0</v>
      </c>
      <c r="AH15" s="82">
        <f t="shared" si="33"/>
        <v>7</v>
      </c>
      <c r="AI15" s="41">
        <v>19957</v>
      </c>
      <c r="AJ15" s="41">
        <v>33979</v>
      </c>
      <c r="AK15" s="41">
        <v>36287</v>
      </c>
      <c r="AL15" s="43">
        <f t="shared" si="34"/>
        <v>90223</v>
      </c>
      <c r="AM15" s="81">
        <f t="shared" si="35"/>
        <v>0</v>
      </c>
      <c r="AN15" s="81">
        <f t="shared" si="36"/>
        <v>0</v>
      </c>
      <c r="AO15" s="81">
        <f t="shared" si="37"/>
        <v>0</v>
      </c>
      <c r="AP15" s="82">
        <f t="shared" si="38"/>
        <v>0</v>
      </c>
      <c r="AQ15" s="41">
        <v>1265</v>
      </c>
      <c r="AR15" s="41">
        <v>1441</v>
      </c>
      <c r="AS15" s="41">
        <v>1827</v>
      </c>
      <c r="AT15" s="43">
        <f t="shared" si="39"/>
        <v>4533</v>
      </c>
      <c r="AU15" s="81">
        <f t="shared" si="40"/>
        <v>0</v>
      </c>
      <c r="AV15" s="81">
        <f t="shared" si="41"/>
        <v>0</v>
      </c>
      <c r="AW15" s="81">
        <f t="shared" si="42"/>
        <v>0</v>
      </c>
      <c r="AX15" s="82">
        <f t="shared" si="43"/>
        <v>0</v>
      </c>
      <c r="AY15" s="81">
        <f t="shared" si="44"/>
        <v>0</v>
      </c>
      <c r="AZ15" s="81">
        <f t="shared" si="45"/>
        <v>0</v>
      </c>
      <c r="BA15" s="81">
        <f t="shared" si="46"/>
        <v>0</v>
      </c>
      <c r="BB15" s="82">
        <f t="shared" si="47"/>
        <v>0</v>
      </c>
      <c r="BC15" s="82">
        <v>43998</v>
      </c>
      <c r="BD15" s="82">
        <f t="shared" si="48"/>
        <v>43998</v>
      </c>
      <c r="BE15" s="82" t="str">
        <f t="shared" si="49"/>
        <v/>
      </c>
      <c r="BF15" s="82">
        <f t="shared" si="50"/>
        <v>43998</v>
      </c>
      <c r="BG15" s="82">
        <f t="shared" si="51"/>
        <v>43998</v>
      </c>
      <c r="BH15" s="82" t="str">
        <f t="shared" si="52"/>
        <v/>
      </c>
      <c r="BI15" s="90">
        <f t="shared" si="53"/>
        <v>3.5</v>
      </c>
      <c r="BJ15" s="90" t="str">
        <f t="shared" si="54"/>
        <v/>
      </c>
      <c r="BK15" s="90" t="str">
        <f t="shared" si="55"/>
        <v/>
      </c>
      <c r="BL15" s="90">
        <f t="shared" si="56"/>
        <v>3.5</v>
      </c>
    </row>
    <row r="16" spans="1:64" s="59" customFormat="1">
      <c r="A16" s="38">
        <v>10</v>
      </c>
      <c r="B16" s="39" t="s">
        <v>48</v>
      </c>
      <c r="C16" s="40" t="s">
        <v>186</v>
      </c>
      <c r="D16" s="41">
        <v>72</v>
      </c>
      <c r="E16" s="42">
        <v>110</v>
      </c>
      <c r="F16" s="43">
        <v>34</v>
      </c>
      <c r="G16" s="43">
        <f t="shared" si="6"/>
        <v>216</v>
      </c>
      <c r="H16" s="45">
        <v>5</v>
      </c>
      <c r="I16" s="45">
        <v>6</v>
      </c>
      <c r="J16" s="45">
        <v>2</v>
      </c>
      <c r="K16" s="45">
        <f t="shared" si="7"/>
        <v>13</v>
      </c>
      <c r="L16" s="45"/>
      <c r="M16" s="45"/>
      <c r="N16" s="45">
        <v>1</v>
      </c>
      <c r="O16" s="45">
        <f t="shared" si="8"/>
        <v>1</v>
      </c>
      <c r="P16" s="45">
        <v>2</v>
      </c>
      <c r="Q16" s="45">
        <v>50</v>
      </c>
      <c r="R16" s="45"/>
      <c r="S16" s="41">
        <f t="shared" si="57"/>
        <v>70</v>
      </c>
      <c r="T16" s="41">
        <f t="shared" si="19"/>
        <v>84</v>
      </c>
      <c r="U16" s="41">
        <f t="shared" si="20"/>
        <v>28</v>
      </c>
      <c r="V16" s="43">
        <f t="shared" si="21"/>
        <v>182</v>
      </c>
      <c r="W16" s="41">
        <f t="shared" si="22"/>
        <v>-2</v>
      </c>
      <c r="X16" s="41">
        <f t="shared" si="23"/>
        <v>-26</v>
      </c>
      <c r="Y16" s="41">
        <f t="shared" si="24"/>
        <v>-6</v>
      </c>
      <c r="Z16" s="43">
        <f t="shared" si="25"/>
        <v>-34</v>
      </c>
      <c r="AA16" s="81">
        <f t="shared" si="26"/>
        <v>0.4</v>
      </c>
      <c r="AB16" s="81">
        <f t="shared" si="27"/>
        <v>5.2</v>
      </c>
      <c r="AC16" s="81">
        <f t="shared" si="28"/>
        <v>1.2000000000000002</v>
      </c>
      <c r="AD16" s="82">
        <f t="shared" si="29"/>
        <v>6.8000000000000007</v>
      </c>
      <c r="AE16" s="81">
        <f t="shared" si="30"/>
        <v>72.400000000000006</v>
      </c>
      <c r="AF16" s="81">
        <f t="shared" si="31"/>
        <v>115.2</v>
      </c>
      <c r="AG16" s="81">
        <f t="shared" si="32"/>
        <v>35.200000000000003</v>
      </c>
      <c r="AH16" s="82">
        <f t="shared" si="33"/>
        <v>222.8</v>
      </c>
      <c r="AI16" s="41">
        <v>19957</v>
      </c>
      <c r="AJ16" s="41">
        <v>33979</v>
      </c>
      <c r="AK16" s="41">
        <v>36287</v>
      </c>
      <c r="AL16" s="43">
        <f t="shared" si="34"/>
        <v>90223</v>
      </c>
      <c r="AM16" s="81">
        <f t="shared" si="35"/>
        <v>7982.8</v>
      </c>
      <c r="AN16" s="81">
        <f t="shared" si="36"/>
        <v>176690.80000000002</v>
      </c>
      <c r="AO16" s="81">
        <f t="shared" si="37"/>
        <v>43544.400000000009</v>
      </c>
      <c r="AP16" s="82">
        <f t="shared" si="38"/>
        <v>228218</v>
      </c>
      <c r="AQ16" s="41">
        <v>1265</v>
      </c>
      <c r="AR16" s="41">
        <v>1441</v>
      </c>
      <c r="AS16" s="41">
        <v>1827</v>
      </c>
      <c r="AT16" s="43">
        <f t="shared" si="39"/>
        <v>4533</v>
      </c>
      <c r="AU16" s="81">
        <f t="shared" si="40"/>
        <v>506</v>
      </c>
      <c r="AV16" s="81">
        <f t="shared" si="41"/>
        <v>7493.2</v>
      </c>
      <c r="AW16" s="81">
        <f t="shared" si="42"/>
        <v>2192.4000000000005</v>
      </c>
      <c r="AX16" s="82">
        <f t="shared" si="43"/>
        <v>10191.6</v>
      </c>
      <c r="AY16" s="81">
        <f t="shared" si="44"/>
        <v>8488.7999999999993</v>
      </c>
      <c r="AZ16" s="81">
        <f t="shared" si="45"/>
        <v>184184.00000000003</v>
      </c>
      <c r="BA16" s="81">
        <f t="shared" si="46"/>
        <v>45736.80000000001</v>
      </c>
      <c r="BB16" s="82">
        <f t="shared" si="47"/>
        <v>238409.60000000003</v>
      </c>
      <c r="BC16" s="82">
        <v>-282238</v>
      </c>
      <c r="BD16" s="82" t="str">
        <f t="shared" si="48"/>
        <v/>
      </c>
      <c r="BE16" s="82">
        <f t="shared" si="49"/>
        <v>-282238</v>
      </c>
      <c r="BF16" s="82">
        <f t="shared" si="50"/>
        <v>-520647.60000000003</v>
      </c>
      <c r="BG16" s="82" t="str">
        <f t="shared" si="51"/>
        <v/>
      </c>
      <c r="BH16" s="82">
        <f t="shared" si="52"/>
        <v>-520647.60000000003</v>
      </c>
      <c r="BI16" s="90">
        <f t="shared" si="53"/>
        <v>14.4</v>
      </c>
      <c r="BJ16" s="90">
        <f t="shared" si="54"/>
        <v>18.333333333333332</v>
      </c>
      <c r="BK16" s="90">
        <f t="shared" si="55"/>
        <v>17</v>
      </c>
      <c r="BL16" s="90">
        <f t="shared" si="56"/>
        <v>16.615384615384617</v>
      </c>
    </row>
    <row r="17" spans="1:64" s="59" customFormat="1">
      <c r="A17" s="38">
        <v>11</v>
      </c>
      <c r="B17" s="39" t="s">
        <v>49</v>
      </c>
      <c r="C17" s="40" t="s">
        <v>187</v>
      </c>
      <c r="D17" s="41">
        <v>38</v>
      </c>
      <c r="E17" s="42">
        <v>252</v>
      </c>
      <c r="F17" s="43">
        <v>85</v>
      </c>
      <c r="G17" s="43">
        <f t="shared" si="6"/>
        <v>375</v>
      </c>
      <c r="H17" s="45">
        <v>4</v>
      </c>
      <c r="I17" s="45">
        <v>13</v>
      </c>
      <c r="J17" s="45">
        <v>4</v>
      </c>
      <c r="K17" s="45">
        <f t="shared" si="7"/>
        <v>21</v>
      </c>
      <c r="L17" s="45"/>
      <c r="M17" s="45"/>
      <c r="N17" s="45">
        <v>1</v>
      </c>
      <c r="O17" s="45">
        <f t="shared" si="8"/>
        <v>1</v>
      </c>
      <c r="P17" s="45">
        <v>2</v>
      </c>
      <c r="Q17" s="45">
        <v>50</v>
      </c>
      <c r="R17" s="45"/>
      <c r="S17" s="41">
        <f t="shared" si="57"/>
        <v>56</v>
      </c>
      <c r="T17" s="41">
        <f t="shared" si="19"/>
        <v>182</v>
      </c>
      <c r="U17" s="41">
        <f t="shared" si="20"/>
        <v>56</v>
      </c>
      <c r="V17" s="43">
        <f t="shared" si="21"/>
        <v>294</v>
      </c>
      <c r="W17" s="41">
        <f t="shared" si="22"/>
        <v>18</v>
      </c>
      <c r="X17" s="41">
        <f t="shared" si="23"/>
        <v>-70</v>
      </c>
      <c r="Y17" s="41">
        <f t="shared" si="24"/>
        <v>-29</v>
      </c>
      <c r="Z17" s="43">
        <f t="shared" si="25"/>
        <v>-81</v>
      </c>
      <c r="AA17" s="81">
        <f t="shared" si="26"/>
        <v>13.5</v>
      </c>
      <c r="AB17" s="85">
        <f t="shared" ref="AB17:AC17" si="59">IF(X17&gt;0,X17*0.75,-X17*0.2)*0.85</f>
        <v>11.9</v>
      </c>
      <c r="AC17" s="85">
        <f t="shared" si="59"/>
        <v>4.9300000000000006</v>
      </c>
      <c r="AD17" s="82">
        <f t="shared" si="29"/>
        <v>30.33</v>
      </c>
      <c r="AE17" s="81">
        <f t="shared" si="30"/>
        <v>51.5</v>
      </c>
      <c r="AF17" s="81">
        <f t="shared" si="31"/>
        <v>263.89999999999998</v>
      </c>
      <c r="AG17" s="81">
        <f t="shared" si="32"/>
        <v>89.93</v>
      </c>
      <c r="AH17" s="82">
        <f t="shared" si="33"/>
        <v>405.33</v>
      </c>
      <c r="AI17" s="41">
        <v>19957</v>
      </c>
      <c r="AJ17" s="86">
        <v>48294</v>
      </c>
      <c r="AK17" s="86">
        <v>56142</v>
      </c>
      <c r="AL17" s="43">
        <f t="shared" si="34"/>
        <v>124393</v>
      </c>
      <c r="AM17" s="81">
        <f t="shared" si="35"/>
        <v>269419.5</v>
      </c>
      <c r="AN17" s="81">
        <f t="shared" si="36"/>
        <v>574698.6</v>
      </c>
      <c r="AO17" s="81">
        <f t="shared" si="37"/>
        <v>276780.06000000006</v>
      </c>
      <c r="AP17" s="82">
        <f t="shared" si="38"/>
        <v>1120898.1600000001</v>
      </c>
      <c r="AQ17" s="41">
        <v>1265</v>
      </c>
      <c r="AR17" s="41">
        <v>1441</v>
      </c>
      <c r="AS17" s="41">
        <v>1827</v>
      </c>
      <c r="AT17" s="43">
        <f t="shared" si="39"/>
        <v>4533</v>
      </c>
      <c r="AU17" s="81">
        <f t="shared" si="40"/>
        <v>17077.5</v>
      </c>
      <c r="AV17" s="81">
        <f t="shared" si="41"/>
        <v>17147.900000000001</v>
      </c>
      <c r="AW17" s="81">
        <f t="shared" si="42"/>
        <v>9007.11</v>
      </c>
      <c r="AX17" s="82">
        <f t="shared" si="43"/>
        <v>43232.51</v>
      </c>
      <c r="AY17" s="81">
        <f t="shared" si="44"/>
        <v>286497</v>
      </c>
      <c r="AZ17" s="81">
        <f t="shared" si="45"/>
        <v>591846.5</v>
      </c>
      <c r="BA17" s="81">
        <f t="shared" si="46"/>
        <v>285787.17000000004</v>
      </c>
      <c r="BB17" s="82">
        <f t="shared" si="47"/>
        <v>1164130.67</v>
      </c>
      <c r="BC17" s="82">
        <v>-5359147</v>
      </c>
      <c r="BD17" s="82" t="str">
        <f t="shared" si="48"/>
        <v/>
      </c>
      <c r="BE17" s="82">
        <f t="shared" si="49"/>
        <v>-5359147</v>
      </c>
      <c r="BF17" s="82">
        <f t="shared" si="50"/>
        <v>-6523277.6699999999</v>
      </c>
      <c r="BG17" s="82" t="str">
        <f t="shared" si="51"/>
        <v/>
      </c>
      <c r="BH17" s="82">
        <f t="shared" si="52"/>
        <v>-6523277.6699999999</v>
      </c>
      <c r="BI17" s="90">
        <f t="shared" si="53"/>
        <v>9.5</v>
      </c>
      <c r="BJ17" s="90">
        <f t="shared" si="54"/>
        <v>19.384615384615383</v>
      </c>
      <c r="BK17" s="90">
        <f t="shared" si="55"/>
        <v>21.25</v>
      </c>
      <c r="BL17" s="90">
        <f t="shared" si="56"/>
        <v>17.857142857142858</v>
      </c>
    </row>
    <row r="18" spans="1:64" s="59" customFormat="1">
      <c r="A18" s="38">
        <v>12</v>
      </c>
      <c r="B18" s="39" t="s">
        <v>9</v>
      </c>
      <c r="C18" s="40" t="s">
        <v>188</v>
      </c>
      <c r="D18" s="41">
        <v>39</v>
      </c>
      <c r="E18" s="42"/>
      <c r="F18" s="43"/>
      <c r="G18" s="43">
        <f t="shared" si="6"/>
        <v>39</v>
      </c>
      <c r="H18" s="45">
        <v>4</v>
      </c>
      <c r="I18" s="45"/>
      <c r="J18" s="45"/>
      <c r="K18" s="45">
        <f t="shared" si="7"/>
        <v>4</v>
      </c>
      <c r="L18" s="45"/>
      <c r="M18" s="45"/>
      <c r="N18" s="45"/>
      <c r="O18" s="45">
        <f t="shared" si="8"/>
        <v>0</v>
      </c>
      <c r="P18" s="45"/>
      <c r="Q18" s="45"/>
      <c r="R18" s="45"/>
      <c r="S18" s="41">
        <f t="shared" si="57"/>
        <v>56</v>
      </c>
      <c r="T18" s="41">
        <f t="shared" si="19"/>
        <v>0</v>
      </c>
      <c r="U18" s="41">
        <f t="shared" si="20"/>
        <v>0</v>
      </c>
      <c r="V18" s="43">
        <f t="shared" si="21"/>
        <v>56</v>
      </c>
      <c r="W18" s="41">
        <f t="shared" si="22"/>
        <v>17</v>
      </c>
      <c r="X18" s="41">
        <f t="shared" si="23"/>
        <v>0</v>
      </c>
      <c r="Y18" s="41">
        <f t="shared" si="24"/>
        <v>0</v>
      </c>
      <c r="Z18" s="43">
        <f t="shared" si="25"/>
        <v>17</v>
      </c>
      <c r="AA18" s="81">
        <f t="shared" si="26"/>
        <v>12.75</v>
      </c>
      <c r="AB18" s="81">
        <f t="shared" si="27"/>
        <v>0</v>
      </c>
      <c r="AC18" s="81">
        <f t="shared" si="28"/>
        <v>0</v>
      </c>
      <c r="AD18" s="82">
        <f t="shared" si="29"/>
        <v>12.75</v>
      </c>
      <c r="AE18" s="81">
        <f t="shared" si="30"/>
        <v>51.75</v>
      </c>
      <c r="AF18" s="81">
        <f t="shared" si="31"/>
        <v>0</v>
      </c>
      <c r="AG18" s="81">
        <f t="shared" si="32"/>
        <v>0</v>
      </c>
      <c r="AH18" s="82">
        <f t="shared" si="33"/>
        <v>51.75</v>
      </c>
      <c r="AI18" s="41">
        <v>19957</v>
      </c>
      <c r="AJ18" s="41">
        <v>33979</v>
      </c>
      <c r="AK18" s="41">
        <v>36287</v>
      </c>
      <c r="AL18" s="43">
        <f t="shared" si="34"/>
        <v>90223</v>
      </c>
      <c r="AM18" s="81">
        <f t="shared" si="35"/>
        <v>254451.75</v>
      </c>
      <c r="AN18" s="81">
        <f t="shared" si="36"/>
        <v>0</v>
      </c>
      <c r="AO18" s="81">
        <f t="shared" si="37"/>
        <v>0</v>
      </c>
      <c r="AP18" s="82">
        <f t="shared" si="38"/>
        <v>254451.75</v>
      </c>
      <c r="AQ18" s="41">
        <v>1265</v>
      </c>
      <c r="AR18" s="41">
        <v>1441</v>
      </c>
      <c r="AS18" s="41">
        <v>1827</v>
      </c>
      <c r="AT18" s="43">
        <f t="shared" si="39"/>
        <v>4533</v>
      </c>
      <c r="AU18" s="81">
        <f t="shared" si="40"/>
        <v>16128.75</v>
      </c>
      <c r="AV18" s="81">
        <f t="shared" si="41"/>
        <v>0</v>
      </c>
      <c r="AW18" s="81">
        <f t="shared" si="42"/>
        <v>0</v>
      </c>
      <c r="AX18" s="82">
        <f t="shared" si="43"/>
        <v>16128.75</v>
      </c>
      <c r="AY18" s="81">
        <f t="shared" si="44"/>
        <v>270580.5</v>
      </c>
      <c r="AZ18" s="81">
        <f t="shared" si="45"/>
        <v>0</v>
      </c>
      <c r="BA18" s="81">
        <f t="shared" si="46"/>
        <v>0</v>
      </c>
      <c r="BB18" s="82">
        <f t="shared" si="47"/>
        <v>270580.5</v>
      </c>
      <c r="BC18" s="82">
        <v>257972</v>
      </c>
      <c r="BD18" s="82">
        <f t="shared" si="48"/>
        <v>257972</v>
      </c>
      <c r="BE18" s="82" t="str">
        <f t="shared" si="49"/>
        <v/>
      </c>
      <c r="BF18" s="82">
        <f t="shared" si="50"/>
        <v>-12608.5</v>
      </c>
      <c r="BG18" s="82" t="str">
        <f t="shared" si="51"/>
        <v/>
      </c>
      <c r="BH18" s="82">
        <f t="shared" si="52"/>
        <v>-12608.5</v>
      </c>
      <c r="BI18" s="90">
        <f t="shared" si="53"/>
        <v>9.75</v>
      </c>
      <c r="BJ18" s="90" t="str">
        <f t="shared" si="54"/>
        <v/>
      </c>
      <c r="BK18" s="90" t="str">
        <f t="shared" si="55"/>
        <v/>
      </c>
      <c r="BL18" s="90">
        <f t="shared" si="56"/>
        <v>9.75</v>
      </c>
    </row>
    <row r="19" spans="1:64" s="59" customFormat="1">
      <c r="A19" s="38">
        <v>13</v>
      </c>
      <c r="B19" s="39" t="s">
        <v>59</v>
      </c>
      <c r="C19" s="40" t="s">
        <v>189</v>
      </c>
      <c r="D19" s="41">
        <v>21</v>
      </c>
      <c r="E19" s="42">
        <v>36</v>
      </c>
      <c r="F19" s="43">
        <v>21</v>
      </c>
      <c r="G19" s="43">
        <f t="shared" si="6"/>
        <v>78</v>
      </c>
      <c r="H19" s="45">
        <v>2</v>
      </c>
      <c r="I19" s="45">
        <v>5</v>
      </c>
      <c r="J19" s="45">
        <v>2</v>
      </c>
      <c r="K19" s="45">
        <f t="shared" si="7"/>
        <v>9</v>
      </c>
      <c r="L19" s="45"/>
      <c r="M19" s="45"/>
      <c r="N19" s="45"/>
      <c r="O19" s="45">
        <f t="shared" si="8"/>
        <v>0</v>
      </c>
      <c r="P19" s="45">
        <v>1</v>
      </c>
      <c r="Q19" s="45">
        <v>21</v>
      </c>
      <c r="R19" s="45"/>
      <c r="S19" s="41">
        <f t="shared" si="57"/>
        <v>28</v>
      </c>
      <c r="T19" s="41">
        <f t="shared" si="19"/>
        <v>70</v>
      </c>
      <c r="U19" s="41">
        <f t="shared" si="20"/>
        <v>28</v>
      </c>
      <c r="V19" s="43">
        <f t="shared" si="21"/>
        <v>126</v>
      </c>
      <c r="W19" s="41">
        <f t="shared" si="22"/>
        <v>7</v>
      </c>
      <c r="X19" s="41">
        <f t="shared" si="23"/>
        <v>34</v>
      </c>
      <c r="Y19" s="41">
        <f t="shared" si="24"/>
        <v>7</v>
      </c>
      <c r="Z19" s="43">
        <f t="shared" si="25"/>
        <v>48</v>
      </c>
      <c r="AA19" s="81">
        <f t="shared" si="26"/>
        <v>5.25</v>
      </c>
      <c r="AB19" s="81">
        <f t="shared" si="27"/>
        <v>25.5</v>
      </c>
      <c r="AC19" s="81">
        <f t="shared" si="28"/>
        <v>5.25</v>
      </c>
      <c r="AD19" s="82">
        <f t="shared" si="29"/>
        <v>36</v>
      </c>
      <c r="AE19" s="81">
        <f t="shared" si="30"/>
        <v>26.25</v>
      </c>
      <c r="AF19" s="81">
        <f t="shared" si="31"/>
        <v>61.5</v>
      </c>
      <c r="AG19" s="81">
        <f t="shared" si="32"/>
        <v>26.25</v>
      </c>
      <c r="AH19" s="82">
        <f t="shared" si="33"/>
        <v>114</v>
      </c>
      <c r="AI19" s="41">
        <v>19957</v>
      </c>
      <c r="AJ19" s="41">
        <v>33979</v>
      </c>
      <c r="AK19" s="41">
        <v>36287</v>
      </c>
      <c r="AL19" s="43">
        <f t="shared" si="34"/>
        <v>90223</v>
      </c>
      <c r="AM19" s="81">
        <f t="shared" si="35"/>
        <v>104774.25</v>
      </c>
      <c r="AN19" s="81">
        <f t="shared" si="36"/>
        <v>866464.5</v>
      </c>
      <c r="AO19" s="81">
        <f t="shared" si="37"/>
        <v>190506.75</v>
      </c>
      <c r="AP19" s="82">
        <f t="shared" si="38"/>
        <v>1161745.5</v>
      </c>
      <c r="AQ19" s="41">
        <v>1265</v>
      </c>
      <c r="AR19" s="41">
        <v>1441</v>
      </c>
      <c r="AS19" s="41">
        <v>1827</v>
      </c>
      <c r="AT19" s="43">
        <f t="shared" si="39"/>
        <v>4533</v>
      </c>
      <c r="AU19" s="81">
        <f t="shared" si="40"/>
        <v>6641.25</v>
      </c>
      <c r="AV19" s="81">
        <f t="shared" si="41"/>
        <v>36745.5</v>
      </c>
      <c r="AW19" s="81">
        <f t="shared" si="42"/>
        <v>9591.75</v>
      </c>
      <c r="AX19" s="82">
        <f t="shared" si="43"/>
        <v>52978.5</v>
      </c>
      <c r="AY19" s="81">
        <f t="shared" si="44"/>
        <v>111415.5</v>
      </c>
      <c r="AZ19" s="81">
        <f t="shared" si="45"/>
        <v>903210</v>
      </c>
      <c r="BA19" s="81">
        <f t="shared" si="46"/>
        <v>200098.5</v>
      </c>
      <c r="BB19" s="82">
        <f t="shared" si="47"/>
        <v>1214724</v>
      </c>
      <c r="BC19" s="82">
        <v>1553966</v>
      </c>
      <c r="BD19" s="82">
        <f t="shared" si="48"/>
        <v>1553966</v>
      </c>
      <c r="BE19" s="82" t="str">
        <f t="shared" si="49"/>
        <v/>
      </c>
      <c r="BF19" s="82">
        <f t="shared" si="50"/>
        <v>339242</v>
      </c>
      <c r="BG19" s="82">
        <f t="shared" si="51"/>
        <v>339242</v>
      </c>
      <c r="BH19" s="82" t="str">
        <f t="shared" si="52"/>
        <v/>
      </c>
      <c r="BI19" s="90">
        <f t="shared" si="53"/>
        <v>10.5</v>
      </c>
      <c r="BJ19" s="90">
        <f t="shared" si="54"/>
        <v>7.2</v>
      </c>
      <c r="BK19" s="90">
        <f t="shared" si="55"/>
        <v>10.5</v>
      </c>
      <c r="BL19" s="90">
        <f t="shared" si="56"/>
        <v>8.6666666666666661</v>
      </c>
    </row>
    <row r="20" spans="1:64" s="59" customFormat="1">
      <c r="A20" s="38">
        <v>14</v>
      </c>
      <c r="B20" s="39" t="s">
        <v>10</v>
      </c>
      <c r="C20" s="40" t="s">
        <v>190</v>
      </c>
      <c r="D20" s="41">
        <v>8</v>
      </c>
      <c r="E20" s="42"/>
      <c r="F20" s="43"/>
      <c r="G20" s="43">
        <f t="shared" si="6"/>
        <v>8</v>
      </c>
      <c r="H20" s="45">
        <v>2</v>
      </c>
      <c r="I20" s="45"/>
      <c r="J20" s="45"/>
      <c r="K20" s="45">
        <f t="shared" si="7"/>
        <v>2</v>
      </c>
      <c r="L20" s="45"/>
      <c r="M20" s="45"/>
      <c r="N20" s="45"/>
      <c r="O20" s="45">
        <f t="shared" si="8"/>
        <v>0</v>
      </c>
      <c r="P20" s="45"/>
      <c r="Q20" s="45"/>
      <c r="R20" s="45"/>
      <c r="S20" s="87">
        <f>G20</f>
        <v>8</v>
      </c>
      <c r="T20" s="41">
        <f t="shared" si="19"/>
        <v>0</v>
      </c>
      <c r="U20" s="41">
        <f t="shared" si="20"/>
        <v>0</v>
      </c>
      <c r="V20" s="43">
        <f t="shared" si="21"/>
        <v>8</v>
      </c>
      <c r="W20" s="41">
        <f t="shared" si="22"/>
        <v>0</v>
      </c>
      <c r="X20" s="41">
        <f t="shared" si="23"/>
        <v>0</v>
      </c>
      <c r="Y20" s="41">
        <f t="shared" si="24"/>
        <v>0</v>
      </c>
      <c r="Z20" s="43">
        <f t="shared" si="25"/>
        <v>0</v>
      </c>
      <c r="AA20" s="81">
        <f t="shared" si="26"/>
        <v>0</v>
      </c>
      <c r="AB20" s="81">
        <f t="shared" si="27"/>
        <v>0</v>
      </c>
      <c r="AC20" s="81">
        <f t="shared" si="28"/>
        <v>0</v>
      </c>
      <c r="AD20" s="82">
        <f t="shared" si="29"/>
        <v>0</v>
      </c>
      <c r="AE20" s="81">
        <f t="shared" si="30"/>
        <v>8</v>
      </c>
      <c r="AF20" s="81">
        <f t="shared" si="31"/>
        <v>0</v>
      </c>
      <c r="AG20" s="81">
        <f t="shared" si="32"/>
        <v>0</v>
      </c>
      <c r="AH20" s="82">
        <f t="shared" si="33"/>
        <v>8</v>
      </c>
      <c r="AI20" s="41">
        <v>19957</v>
      </c>
      <c r="AJ20" s="41">
        <v>33979</v>
      </c>
      <c r="AK20" s="41">
        <v>36287</v>
      </c>
      <c r="AL20" s="43">
        <f t="shared" si="34"/>
        <v>90223</v>
      </c>
      <c r="AM20" s="81">
        <f t="shared" si="35"/>
        <v>0</v>
      </c>
      <c r="AN20" s="81">
        <f t="shared" si="36"/>
        <v>0</v>
      </c>
      <c r="AO20" s="81">
        <f t="shared" si="37"/>
        <v>0</v>
      </c>
      <c r="AP20" s="82">
        <f t="shared" si="38"/>
        <v>0</v>
      </c>
      <c r="AQ20" s="41">
        <v>1265</v>
      </c>
      <c r="AR20" s="41">
        <v>1441</v>
      </c>
      <c r="AS20" s="41">
        <v>1827</v>
      </c>
      <c r="AT20" s="43">
        <f t="shared" si="39"/>
        <v>4533</v>
      </c>
      <c r="AU20" s="81">
        <f t="shared" si="40"/>
        <v>0</v>
      </c>
      <c r="AV20" s="81">
        <f t="shared" si="41"/>
        <v>0</v>
      </c>
      <c r="AW20" s="81">
        <f t="shared" si="42"/>
        <v>0</v>
      </c>
      <c r="AX20" s="82">
        <f t="shared" si="43"/>
        <v>0</v>
      </c>
      <c r="AY20" s="81">
        <f t="shared" si="44"/>
        <v>0</v>
      </c>
      <c r="AZ20" s="81">
        <f t="shared" si="45"/>
        <v>0</v>
      </c>
      <c r="BA20" s="81">
        <f t="shared" si="46"/>
        <v>0</v>
      </c>
      <c r="BB20" s="82">
        <f t="shared" si="47"/>
        <v>0</v>
      </c>
      <c r="BC20" s="82">
        <v>73998</v>
      </c>
      <c r="BD20" s="82">
        <f t="shared" si="48"/>
        <v>73998</v>
      </c>
      <c r="BE20" s="82" t="str">
        <f t="shared" si="49"/>
        <v/>
      </c>
      <c r="BF20" s="82">
        <f t="shared" si="50"/>
        <v>73998</v>
      </c>
      <c r="BG20" s="82">
        <f t="shared" si="51"/>
        <v>73998</v>
      </c>
      <c r="BH20" s="82" t="str">
        <f t="shared" si="52"/>
        <v/>
      </c>
      <c r="BI20" s="90">
        <f t="shared" si="53"/>
        <v>4</v>
      </c>
      <c r="BJ20" s="90" t="str">
        <f t="shared" si="54"/>
        <v/>
      </c>
      <c r="BK20" s="90" t="str">
        <f t="shared" si="55"/>
        <v/>
      </c>
      <c r="BL20" s="90">
        <f t="shared" si="56"/>
        <v>4</v>
      </c>
    </row>
    <row r="21" spans="1:64" s="59" customFormat="1">
      <c r="A21" s="38">
        <v>15</v>
      </c>
      <c r="B21" s="39" t="s">
        <v>11</v>
      </c>
      <c r="C21" s="40" t="s">
        <v>191</v>
      </c>
      <c r="D21" s="41">
        <v>16</v>
      </c>
      <c r="E21" s="42"/>
      <c r="F21" s="43"/>
      <c r="G21" s="43">
        <f t="shared" si="6"/>
        <v>16</v>
      </c>
      <c r="H21" s="45">
        <v>2</v>
      </c>
      <c r="I21" s="45"/>
      <c r="J21" s="45"/>
      <c r="K21" s="45">
        <f t="shared" si="7"/>
        <v>2</v>
      </c>
      <c r="L21" s="45"/>
      <c r="M21" s="45"/>
      <c r="N21" s="45"/>
      <c r="O21" s="45">
        <f t="shared" si="8"/>
        <v>0</v>
      </c>
      <c r="P21" s="45"/>
      <c r="Q21" s="45"/>
      <c r="R21" s="45"/>
      <c r="S21" s="41">
        <f t="shared" si="57"/>
        <v>28</v>
      </c>
      <c r="T21" s="41">
        <f t="shared" si="19"/>
        <v>0</v>
      </c>
      <c r="U21" s="41">
        <f t="shared" si="20"/>
        <v>0</v>
      </c>
      <c r="V21" s="43">
        <f t="shared" si="21"/>
        <v>28</v>
      </c>
      <c r="W21" s="41">
        <f t="shared" si="22"/>
        <v>12</v>
      </c>
      <c r="X21" s="41">
        <f t="shared" si="23"/>
        <v>0</v>
      </c>
      <c r="Y21" s="41">
        <f t="shared" si="24"/>
        <v>0</v>
      </c>
      <c r="Z21" s="43">
        <f t="shared" si="25"/>
        <v>12</v>
      </c>
      <c r="AA21" s="81">
        <f t="shared" si="26"/>
        <v>9</v>
      </c>
      <c r="AB21" s="81">
        <f t="shared" si="27"/>
        <v>0</v>
      </c>
      <c r="AC21" s="81">
        <f t="shared" si="28"/>
        <v>0</v>
      </c>
      <c r="AD21" s="82">
        <f t="shared" si="29"/>
        <v>9</v>
      </c>
      <c r="AE21" s="81">
        <f t="shared" si="30"/>
        <v>25</v>
      </c>
      <c r="AF21" s="81">
        <f t="shared" si="31"/>
        <v>0</v>
      </c>
      <c r="AG21" s="81">
        <f t="shared" si="32"/>
        <v>0</v>
      </c>
      <c r="AH21" s="82">
        <f t="shared" si="33"/>
        <v>25</v>
      </c>
      <c r="AI21" s="41">
        <v>19957</v>
      </c>
      <c r="AJ21" s="41">
        <v>33979</v>
      </c>
      <c r="AK21" s="41">
        <v>36287</v>
      </c>
      <c r="AL21" s="43">
        <f t="shared" si="34"/>
        <v>90223</v>
      </c>
      <c r="AM21" s="81">
        <f t="shared" si="35"/>
        <v>179613</v>
      </c>
      <c r="AN21" s="81">
        <f t="shared" si="36"/>
        <v>0</v>
      </c>
      <c r="AO21" s="81">
        <f t="shared" si="37"/>
        <v>0</v>
      </c>
      <c r="AP21" s="82">
        <f t="shared" si="38"/>
        <v>179613</v>
      </c>
      <c r="AQ21" s="41">
        <v>1265</v>
      </c>
      <c r="AR21" s="41">
        <v>1441</v>
      </c>
      <c r="AS21" s="41">
        <v>1827</v>
      </c>
      <c r="AT21" s="43">
        <f t="shared" si="39"/>
        <v>4533</v>
      </c>
      <c r="AU21" s="81">
        <f t="shared" si="40"/>
        <v>11385</v>
      </c>
      <c r="AV21" s="81">
        <f t="shared" si="41"/>
        <v>0</v>
      </c>
      <c r="AW21" s="81">
        <f t="shared" si="42"/>
        <v>0</v>
      </c>
      <c r="AX21" s="82">
        <f t="shared" si="43"/>
        <v>11385</v>
      </c>
      <c r="AY21" s="81">
        <f t="shared" si="44"/>
        <v>190998</v>
      </c>
      <c r="AZ21" s="81">
        <f t="shared" si="45"/>
        <v>0</v>
      </c>
      <c r="BA21" s="81">
        <f t="shared" si="46"/>
        <v>0</v>
      </c>
      <c r="BB21" s="82">
        <f t="shared" si="47"/>
        <v>190998</v>
      </c>
      <c r="BC21" s="82">
        <v>203672</v>
      </c>
      <c r="BD21" s="82">
        <f t="shared" si="48"/>
        <v>203672</v>
      </c>
      <c r="BE21" s="82" t="str">
        <f t="shared" si="49"/>
        <v/>
      </c>
      <c r="BF21" s="82">
        <f t="shared" si="50"/>
        <v>12674</v>
      </c>
      <c r="BG21" s="82">
        <f t="shared" si="51"/>
        <v>12674</v>
      </c>
      <c r="BH21" s="82" t="str">
        <f t="shared" si="52"/>
        <v/>
      </c>
      <c r="BI21" s="90">
        <f t="shared" si="53"/>
        <v>8</v>
      </c>
      <c r="BJ21" s="90" t="str">
        <f t="shared" si="54"/>
        <v/>
      </c>
      <c r="BK21" s="90" t="str">
        <f t="shared" si="55"/>
        <v/>
      </c>
      <c r="BL21" s="90">
        <f t="shared" si="56"/>
        <v>8</v>
      </c>
    </row>
    <row r="22" spans="1:64" s="59" customFormat="1">
      <c r="A22" s="38">
        <v>16</v>
      </c>
      <c r="B22" s="39" t="s">
        <v>12</v>
      </c>
      <c r="C22" s="40" t="s">
        <v>192</v>
      </c>
      <c r="D22" s="41">
        <v>15</v>
      </c>
      <c r="E22" s="42"/>
      <c r="F22" s="43"/>
      <c r="G22" s="43">
        <f t="shared" si="6"/>
        <v>15</v>
      </c>
      <c r="H22" s="45">
        <v>2</v>
      </c>
      <c r="I22" s="45"/>
      <c r="J22" s="45"/>
      <c r="K22" s="45">
        <f t="shared" si="7"/>
        <v>2</v>
      </c>
      <c r="L22" s="45"/>
      <c r="M22" s="45"/>
      <c r="N22" s="45"/>
      <c r="O22" s="45">
        <f t="shared" si="8"/>
        <v>0</v>
      </c>
      <c r="P22" s="45"/>
      <c r="Q22" s="45"/>
      <c r="R22" s="45"/>
      <c r="S22" s="87">
        <f t="shared" ref="S22:S25" si="60">G22</f>
        <v>15</v>
      </c>
      <c r="T22" s="41">
        <f t="shared" si="19"/>
        <v>0</v>
      </c>
      <c r="U22" s="41">
        <f t="shared" si="20"/>
        <v>0</v>
      </c>
      <c r="V22" s="43">
        <f t="shared" si="21"/>
        <v>15</v>
      </c>
      <c r="W22" s="41">
        <f t="shared" si="22"/>
        <v>0</v>
      </c>
      <c r="X22" s="41">
        <f t="shared" si="23"/>
        <v>0</v>
      </c>
      <c r="Y22" s="41">
        <f t="shared" si="24"/>
        <v>0</v>
      </c>
      <c r="Z22" s="43">
        <f t="shared" si="25"/>
        <v>0</v>
      </c>
      <c r="AA22" s="81">
        <f t="shared" si="26"/>
        <v>0</v>
      </c>
      <c r="AB22" s="81">
        <f t="shared" si="27"/>
        <v>0</v>
      </c>
      <c r="AC22" s="81">
        <f t="shared" si="28"/>
        <v>0</v>
      </c>
      <c r="AD22" s="82">
        <f t="shared" si="29"/>
        <v>0</v>
      </c>
      <c r="AE22" s="81">
        <f t="shared" si="30"/>
        <v>15</v>
      </c>
      <c r="AF22" s="81">
        <f t="shared" si="31"/>
        <v>0</v>
      </c>
      <c r="AG22" s="81">
        <f t="shared" si="32"/>
        <v>0</v>
      </c>
      <c r="AH22" s="82">
        <f t="shared" si="33"/>
        <v>15</v>
      </c>
      <c r="AI22" s="41">
        <v>19957</v>
      </c>
      <c r="AJ22" s="41">
        <v>33979</v>
      </c>
      <c r="AK22" s="41">
        <v>36287</v>
      </c>
      <c r="AL22" s="43">
        <f t="shared" si="34"/>
        <v>90223</v>
      </c>
      <c r="AM22" s="81">
        <f t="shared" si="35"/>
        <v>0</v>
      </c>
      <c r="AN22" s="81">
        <f t="shared" si="36"/>
        <v>0</v>
      </c>
      <c r="AO22" s="81">
        <f t="shared" si="37"/>
        <v>0</v>
      </c>
      <c r="AP22" s="82">
        <f t="shared" si="38"/>
        <v>0</v>
      </c>
      <c r="AQ22" s="41">
        <v>1265</v>
      </c>
      <c r="AR22" s="41">
        <v>1441</v>
      </c>
      <c r="AS22" s="41">
        <v>1827</v>
      </c>
      <c r="AT22" s="43">
        <f t="shared" si="39"/>
        <v>4533</v>
      </c>
      <c r="AU22" s="81">
        <f t="shared" si="40"/>
        <v>0</v>
      </c>
      <c r="AV22" s="81">
        <f t="shared" si="41"/>
        <v>0</v>
      </c>
      <c r="AW22" s="81">
        <f t="shared" si="42"/>
        <v>0</v>
      </c>
      <c r="AX22" s="82">
        <f t="shared" si="43"/>
        <v>0</v>
      </c>
      <c r="AY22" s="81">
        <f t="shared" si="44"/>
        <v>0</v>
      </c>
      <c r="AZ22" s="81">
        <f t="shared" si="45"/>
        <v>0</v>
      </c>
      <c r="BA22" s="81">
        <f t="shared" si="46"/>
        <v>0</v>
      </c>
      <c r="BB22" s="82">
        <f t="shared" si="47"/>
        <v>0</v>
      </c>
      <c r="BC22" s="82">
        <v>45498</v>
      </c>
      <c r="BD22" s="82">
        <f t="shared" si="48"/>
        <v>45498</v>
      </c>
      <c r="BE22" s="82" t="str">
        <f t="shared" si="49"/>
        <v/>
      </c>
      <c r="BF22" s="82">
        <f t="shared" si="50"/>
        <v>45498</v>
      </c>
      <c r="BG22" s="82">
        <f t="shared" si="51"/>
        <v>45498</v>
      </c>
      <c r="BH22" s="82" t="str">
        <f t="shared" si="52"/>
        <v/>
      </c>
      <c r="BI22" s="90">
        <f t="shared" si="53"/>
        <v>7.5</v>
      </c>
      <c r="BJ22" s="90" t="str">
        <f t="shared" si="54"/>
        <v/>
      </c>
      <c r="BK22" s="90" t="str">
        <f t="shared" si="55"/>
        <v/>
      </c>
      <c r="BL22" s="90">
        <f t="shared" si="56"/>
        <v>7.5</v>
      </c>
    </row>
    <row r="23" spans="1:64" s="59" customFormat="1">
      <c r="A23" s="38">
        <v>17</v>
      </c>
      <c r="B23" s="39" t="s">
        <v>15</v>
      </c>
      <c r="C23" s="40" t="s">
        <v>193</v>
      </c>
      <c r="D23" s="41">
        <v>5</v>
      </c>
      <c r="E23" s="42"/>
      <c r="F23" s="43"/>
      <c r="G23" s="43">
        <f t="shared" si="6"/>
        <v>5</v>
      </c>
      <c r="H23" s="45">
        <v>2</v>
      </c>
      <c r="I23" s="45"/>
      <c r="J23" s="45"/>
      <c r="K23" s="45">
        <f t="shared" si="7"/>
        <v>2</v>
      </c>
      <c r="L23" s="45"/>
      <c r="M23" s="45"/>
      <c r="N23" s="45"/>
      <c r="O23" s="45">
        <f t="shared" si="8"/>
        <v>0</v>
      </c>
      <c r="P23" s="45"/>
      <c r="Q23" s="45"/>
      <c r="R23" s="45"/>
      <c r="S23" s="87">
        <f t="shared" si="60"/>
        <v>5</v>
      </c>
      <c r="T23" s="41">
        <f t="shared" si="19"/>
        <v>0</v>
      </c>
      <c r="U23" s="41">
        <f t="shared" si="20"/>
        <v>0</v>
      </c>
      <c r="V23" s="43">
        <f t="shared" si="21"/>
        <v>5</v>
      </c>
      <c r="W23" s="41">
        <f t="shared" si="22"/>
        <v>0</v>
      </c>
      <c r="X23" s="41">
        <f t="shared" si="23"/>
        <v>0</v>
      </c>
      <c r="Y23" s="41">
        <f t="shared" si="24"/>
        <v>0</v>
      </c>
      <c r="Z23" s="43">
        <f t="shared" si="25"/>
        <v>0</v>
      </c>
      <c r="AA23" s="81">
        <f t="shared" si="26"/>
        <v>0</v>
      </c>
      <c r="AB23" s="81">
        <f t="shared" si="27"/>
        <v>0</v>
      </c>
      <c r="AC23" s="81">
        <f t="shared" si="28"/>
        <v>0</v>
      </c>
      <c r="AD23" s="82">
        <f t="shared" si="29"/>
        <v>0</v>
      </c>
      <c r="AE23" s="81">
        <f t="shared" si="30"/>
        <v>5</v>
      </c>
      <c r="AF23" s="81">
        <f t="shared" si="31"/>
        <v>0</v>
      </c>
      <c r="AG23" s="81">
        <f t="shared" si="32"/>
        <v>0</v>
      </c>
      <c r="AH23" s="82">
        <f t="shared" si="33"/>
        <v>5</v>
      </c>
      <c r="AI23" s="41">
        <v>19957</v>
      </c>
      <c r="AJ23" s="41">
        <v>33979</v>
      </c>
      <c r="AK23" s="41">
        <v>36287</v>
      </c>
      <c r="AL23" s="43">
        <f t="shared" si="34"/>
        <v>90223</v>
      </c>
      <c r="AM23" s="81">
        <f t="shared" si="35"/>
        <v>0</v>
      </c>
      <c r="AN23" s="81">
        <f t="shared" si="36"/>
        <v>0</v>
      </c>
      <c r="AO23" s="81">
        <f t="shared" si="37"/>
        <v>0</v>
      </c>
      <c r="AP23" s="82">
        <f t="shared" si="38"/>
        <v>0</v>
      </c>
      <c r="AQ23" s="41">
        <v>1265</v>
      </c>
      <c r="AR23" s="41">
        <v>1441</v>
      </c>
      <c r="AS23" s="41">
        <v>1827</v>
      </c>
      <c r="AT23" s="43">
        <f t="shared" si="39"/>
        <v>4533</v>
      </c>
      <c r="AU23" s="81">
        <f t="shared" si="40"/>
        <v>0</v>
      </c>
      <c r="AV23" s="81">
        <f t="shared" si="41"/>
        <v>0</v>
      </c>
      <c r="AW23" s="81">
        <f t="shared" si="42"/>
        <v>0</v>
      </c>
      <c r="AX23" s="82">
        <f t="shared" si="43"/>
        <v>0</v>
      </c>
      <c r="AY23" s="81">
        <f t="shared" si="44"/>
        <v>0</v>
      </c>
      <c r="AZ23" s="81">
        <f t="shared" si="45"/>
        <v>0</v>
      </c>
      <c r="BA23" s="81">
        <f t="shared" si="46"/>
        <v>0</v>
      </c>
      <c r="BB23" s="82">
        <f t="shared" si="47"/>
        <v>0</v>
      </c>
      <c r="BC23" s="82">
        <v>-32602</v>
      </c>
      <c r="BD23" s="82" t="str">
        <f t="shared" si="48"/>
        <v/>
      </c>
      <c r="BE23" s="82">
        <f t="shared" si="49"/>
        <v>-32602</v>
      </c>
      <c r="BF23" s="82">
        <f t="shared" si="50"/>
        <v>-32602</v>
      </c>
      <c r="BG23" s="82" t="str">
        <f t="shared" si="51"/>
        <v/>
      </c>
      <c r="BH23" s="82">
        <f t="shared" si="52"/>
        <v>-32602</v>
      </c>
      <c r="BI23" s="90">
        <f t="shared" si="53"/>
        <v>2.5</v>
      </c>
      <c r="BJ23" s="90" t="str">
        <f t="shared" si="54"/>
        <v/>
      </c>
      <c r="BK23" s="90" t="str">
        <f t="shared" si="55"/>
        <v/>
      </c>
      <c r="BL23" s="90">
        <f t="shared" si="56"/>
        <v>2.5</v>
      </c>
    </row>
    <row r="24" spans="1:64" s="59" customFormat="1">
      <c r="A24" s="38">
        <v>18</v>
      </c>
      <c r="B24" s="39" t="s">
        <v>13</v>
      </c>
      <c r="C24" s="40" t="s">
        <v>194</v>
      </c>
      <c r="D24" s="41">
        <v>4</v>
      </c>
      <c r="E24" s="42"/>
      <c r="F24" s="43"/>
      <c r="G24" s="43">
        <f t="shared" si="6"/>
        <v>4</v>
      </c>
      <c r="H24" s="45">
        <v>1</v>
      </c>
      <c r="I24" s="45"/>
      <c r="J24" s="45"/>
      <c r="K24" s="45">
        <f t="shared" si="7"/>
        <v>1</v>
      </c>
      <c r="L24" s="45"/>
      <c r="M24" s="45"/>
      <c r="N24" s="45"/>
      <c r="O24" s="45">
        <f t="shared" si="8"/>
        <v>0</v>
      </c>
      <c r="P24" s="45"/>
      <c r="Q24" s="45"/>
      <c r="R24" s="45"/>
      <c r="S24" s="87">
        <f t="shared" si="60"/>
        <v>4</v>
      </c>
      <c r="T24" s="41">
        <f t="shared" si="19"/>
        <v>0</v>
      </c>
      <c r="U24" s="41">
        <f t="shared" si="20"/>
        <v>0</v>
      </c>
      <c r="V24" s="43">
        <f t="shared" si="21"/>
        <v>4</v>
      </c>
      <c r="W24" s="41">
        <f t="shared" si="22"/>
        <v>0</v>
      </c>
      <c r="X24" s="41">
        <f t="shared" si="23"/>
        <v>0</v>
      </c>
      <c r="Y24" s="41">
        <f t="shared" si="24"/>
        <v>0</v>
      </c>
      <c r="Z24" s="43">
        <f t="shared" si="25"/>
        <v>0</v>
      </c>
      <c r="AA24" s="81">
        <f t="shared" si="26"/>
        <v>0</v>
      </c>
      <c r="AB24" s="81">
        <f t="shared" si="27"/>
        <v>0</v>
      </c>
      <c r="AC24" s="81">
        <f t="shared" si="28"/>
        <v>0</v>
      </c>
      <c r="AD24" s="82">
        <f t="shared" si="29"/>
        <v>0</v>
      </c>
      <c r="AE24" s="81">
        <f t="shared" si="30"/>
        <v>4</v>
      </c>
      <c r="AF24" s="81">
        <f t="shared" si="31"/>
        <v>0</v>
      </c>
      <c r="AG24" s="81">
        <f t="shared" si="32"/>
        <v>0</v>
      </c>
      <c r="AH24" s="82">
        <f t="shared" si="33"/>
        <v>4</v>
      </c>
      <c r="AI24" s="41">
        <v>19957</v>
      </c>
      <c r="AJ24" s="41">
        <v>33979</v>
      </c>
      <c r="AK24" s="41">
        <v>36287</v>
      </c>
      <c r="AL24" s="43">
        <f t="shared" si="34"/>
        <v>90223</v>
      </c>
      <c r="AM24" s="81">
        <f t="shared" si="35"/>
        <v>0</v>
      </c>
      <c r="AN24" s="81">
        <f t="shared" si="36"/>
        <v>0</v>
      </c>
      <c r="AO24" s="81">
        <f t="shared" si="37"/>
        <v>0</v>
      </c>
      <c r="AP24" s="82">
        <f t="shared" si="38"/>
        <v>0</v>
      </c>
      <c r="AQ24" s="41">
        <v>1265</v>
      </c>
      <c r="AR24" s="41">
        <v>1441</v>
      </c>
      <c r="AS24" s="41">
        <v>1827</v>
      </c>
      <c r="AT24" s="43">
        <f t="shared" si="39"/>
        <v>4533</v>
      </c>
      <c r="AU24" s="81">
        <f t="shared" si="40"/>
        <v>0</v>
      </c>
      <c r="AV24" s="81">
        <f t="shared" si="41"/>
        <v>0</v>
      </c>
      <c r="AW24" s="81">
        <f t="shared" si="42"/>
        <v>0</v>
      </c>
      <c r="AX24" s="82">
        <f t="shared" si="43"/>
        <v>0</v>
      </c>
      <c r="AY24" s="81">
        <f t="shared" si="44"/>
        <v>0</v>
      </c>
      <c r="AZ24" s="81">
        <f t="shared" si="45"/>
        <v>0</v>
      </c>
      <c r="BA24" s="81">
        <f t="shared" si="46"/>
        <v>0</v>
      </c>
      <c r="BB24" s="82">
        <f t="shared" si="47"/>
        <v>0</v>
      </c>
      <c r="BC24" s="82">
        <v>498</v>
      </c>
      <c r="BD24" s="82">
        <f t="shared" si="48"/>
        <v>498</v>
      </c>
      <c r="BE24" s="82" t="str">
        <f t="shared" si="49"/>
        <v/>
      </c>
      <c r="BF24" s="82">
        <f t="shared" si="50"/>
        <v>498</v>
      </c>
      <c r="BG24" s="82">
        <f t="shared" si="51"/>
        <v>498</v>
      </c>
      <c r="BH24" s="82" t="str">
        <f t="shared" si="52"/>
        <v/>
      </c>
      <c r="BI24" s="90">
        <f t="shared" si="53"/>
        <v>4</v>
      </c>
      <c r="BJ24" s="90" t="str">
        <f t="shared" si="54"/>
        <v/>
      </c>
      <c r="BK24" s="90" t="str">
        <f t="shared" si="55"/>
        <v/>
      </c>
      <c r="BL24" s="90">
        <f t="shared" si="56"/>
        <v>4</v>
      </c>
    </row>
    <row r="25" spans="1:64" s="59" customFormat="1">
      <c r="A25" s="38">
        <v>19</v>
      </c>
      <c r="B25" s="39" t="s">
        <v>14</v>
      </c>
      <c r="C25" s="40" t="s">
        <v>195</v>
      </c>
      <c r="D25" s="41">
        <v>7</v>
      </c>
      <c r="E25" s="42"/>
      <c r="F25" s="43"/>
      <c r="G25" s="43">
        <f t="shared" si="6"/>
        <v>7</v>
      </c>
      <c r="H25" s="45">
        <v>1</v>
      </c>
      <c r="I25" s="45"/>
      <c r="J25" s="45"/>
      <c r="K25" s="45">
        <f t="shared" si="7"/>
        <v>1</v>
      </c>
      <c r="L25" s="45"/>
      <c r="M25" s="45"/>
      <c r="N25" s="45"/>
      <c r="O25" s="45">
        <f t="shared" si="8"/>
        <v>0</v>
      </c>
      <c r="P25" s="45"/>
      <c r="Q25" s="45"/>
      <c r="R25" s="45"/>
      <c r="S25" s="87">
        <f t="shared" si="60"/>
        <v>7</v>
      </c>
      <c r="T25" s="41">
        <f t="shared" si="19"/>
        <v>0</v>
      </c>
      <c r="U25" s="41">
        <f t="shared" si="20"/>
        <v>0</v>
      </c>
      <c r="V25" s="43">
        <f t="shared" si="21"/>
        <v>7</v>
      </c>
      <c r="W25" s="41">
        <f t="shared" si="22"/>
        <v>0</v>
      </c>
      <c r="X25" s="41">
        <f t="shared" si="23"/>
        <v>0</v>
      </c>
      <c r="Y25" s="41">
        <f t="shared" si="24"/>
        <v>0</v>
      </c>
      <c r="Z25" s="43">
        <f t="shared" si="25"/>
        <v>0</v>
      </c>
      <c r="AA25" s="81">
        <f t="shared" si="26"/>
        <v>0</v>
      </c>
      <c r="AB25" s="81">
        <f t="shared" si="27"/>
        <v>0</v>
      </c>
      <c r="AC25" s="81">
        <f t="shared" si="28"/>
        <v>0</v>
      </c>
      <c r="AD25" s="82">
        <f t="shared" si="29"/>
        <v>0</v>
      </c>
      <c r="AE25" s="81">
        <f t="shared" si="30"/>
        <v>7</v>
      </c>
      <c r="AF25" s="81">
        <f t="shared" si="31"/>
        <v>0</v>
      </c>
      <c r="AG25" s="81">
        <f t="shared" si="32"/>
        <v>0</v>
      </c>
      <c r="AH25" s="82">
        <f t="shared" si="33"/>
        <v>7</v>
      </c>
      <c r="AI25" s="41">
        <v>19957</v>
      </c>
      <c r="AJ25" s="41">
        <v>33979</v>
      </c>
      <c r="AK25" s="41">
        <v>36287</v>
      </c>
      <c r="AL25" s="43">
        <f t="shared" si="34"/>
        <v>90223</v>
      </c>
      <c r="AM25" s="81">
        <f t="shared" si="35"/>
        <v>0</v>
      </c>
      <c r="AN25" s="81">
        <f t="shared" si="36"/>
        <v>0</v>
      </c>
      <c r="AO25" s="81">
        <f t="shared" si="37"/>
        <v>0</v>
      </c>
      <c r="AP25" s="82">
        <f t="shared" si="38"/>
        <v>0</v>
      </c>
      <c r="AQ25" s="41">
        <v>1265</v>
      </c>
      <c r="AR25" s="41">
        <v>1441</v>
      </c>
      <c r="AS25" s="41">
        <v>1827</v>
      </c>
      <c r="AT25" s="43">
        <f t="shared" si="39"/>
        <v>4533</v>
      </c>
      <c r="AU25" s="81">
        <f t="shared" si="40"/>
        <v>0</v>
      </c>
      <c r="AV25" s="81">
        <f t="shared" si="41"/>
        <v>0</v>
      </c>
      <c r="AW25" s="81">
        <f t="shared" si="42"/>
        <v>0</v>
      </c>
      <c r="AX25" s="82">
        <f t="shared" si="43"/>
        <v>0</v>
      </c>
      <c r="AY25" s="81">
        <f t="shared" si="44"/>
        <v>0</v>
      </c>
      <c r="AZ25" s="81">
        <f t="shared" si="45"/>
        <v>0</v>
      </c>
      <c r="BA25" s="81">
        <f t="shared" si="46"/>
        <v>0</v>
      </c>
      <c r="BB25" s="82">
        <f t="shared" si="47"/>
        <v>0</v>
      </c>
      <c r="BC25" s="82">
        <v>-2551</v>
      </c>
      <c r="BD25" s="82" t="str">
        <f t="shared" si="48"/>
        <v/>
      </c>
      <c r="BE25" s="82">
        <f t="shared" si="49"/>
        <v>-2551</v>
      </c>
      <c r="BF25" s="82">
        <f t="shared" si="50"/>
        <v>-2551</v>
      </c>
      <c r="BG25" s="82" t="str">
        <f t="shared" si="51"/>
        <v/>
      </c>
      <c r="BH25" s="82">
        <f t="shared" si="52"/>
        <v>-2551</v>
      </c>
      <c r="BI25" s="90">
        <f t="shared" si="53"/>
        <v>7</v>
      </c>
      <c r="BJ25" s="90" t="str">
        <f t="shared" si="54"/>
        <v/>
      </c>
      <c r="BK25" s="90" t="str">
        <f t="shared" si="55"/>
        <v/>
      </c>
      <c r="BL25" s="90">
        <f t="shared" si="56"/>
        <v>7</v>
      </c>
    </row>
    <row r="26" spans="1:64" s="59" customFormat="1">
      <c r="A26" s="38">
        <v>20</v>
      </c>
      <c r="B26" s="39" t="s">
        <v>77</v>
      </c>
      <c r="C26" s="40" t="s">
        <v>196</v>
      </c>
      <c r="D26" s="15">
        <v>0</v>
      </c>
      <c r="E26" s="16"/>
      <c r="F26" s="78">
        <v>203</v>
      </c>
      <c r="G26" s="78">
        <f t="shared" si="6"/>
        <v>203</v>
      </c>
      <c r="H26" s="77">
        <v>0</v>
      </c>
      <c r="I26" s="79"/>
      <c r="J26" s="79">
        <v>10</v>
      </c>
      <c r="K26" s="79">
        <f t="shared" ref="K26" si="61">H26+I26+J26</f>
        <v>10</v>
      </c>
      <c r="L26" s="79"/>
      <c r="M26" s="79"/>
      <c r="N26" s="79"/>
      <c r="O26" s="79">
        <f t="shared" ref="O26" si="62">L26+M26+N26</f>
        <v>0</v>
      </c>
      <c r="P26" s="79"/>
      <c r="Q26" s="79"/>
      <c r="R26" s="79"/>
      <c r="S26" s="41">
        <f t="shared" si="57"/>
        <v>0</v>
      </c>
      <c r="T26" s="41">
        <f t="shared" si="19"/>
        <v>0</v>
      </c>
      <c r="U26" s="80">
        <v>203</v>
      </c>
      <c r="V26" s="43">
        <f t="shared" si="21"/>
        <v>203</v>
      </c>
      <c r="W26" s="41">
        <f t="shared" si="22"/>
        <v>0</v>
      </c>
      <c r="X26" s="41">
        <f t="shared" si="23"/>
        <v>0</v>
      </c>
      <c r="Y26" s="41">
        <f t="shared" si="24"/>
        <v>0</v>
      </c>
      <c r="Z26" s="43">
        <f t="shared" si="25"/>
        <v>0</v>
      </c>
      <c r="AA26" s="81">
        <f t="shared" si="26"/>
        <v>0</v>
      </c>
      <c r="AB26" s="81">
        <f t="shared" si="27"/>
        <v>0</v>
      </c>
      <c r="AC26" s="81">
        <f t="shared" si="28"/>
        <v>0</v>
      </c>
      <c r="AD26" s="82">
        <f t="shared" si="29"/>
        <v>0</v>
      </c>
      <c r="AE26" s="81">
        <f t="shared" si="30"/>
        <v>0</v>
      </c>
      <c r="AF26" s="81">
        <f t="shared" si="31"/>
        <v>0</v>
      </c>
      <c r="AG26" s="81">
        <f t="shared" si="32"/>
        <v>203</v>
      </c>
      <c r="AH26" s="82">
        <f t="shared" si="33"/>
        <v>203</v>
      </c>
      <c r="AI26" s="41">
        <v>19957</v>
      </c>
      <c r="AJ26" s="41">
        <v>33979</v>
      </c>
      <c r="AK26" s="41">
        <v>36287</v>
      </c>
      <c r="AL26" s="43">
        <f t="shared" si="34"/>
        <v>90223</v>
      </c>
      <c r="AM26" s="81">
        <f t="shared" si="35"/>
        <v>0</v>
      </c>
      <c r="AN26" s="81">
        <f t="shared" si="36"/>
        <v>0</v>
      </c>
      <c r="AO26" s="81">
        <f t="shared" si="37"/>
        <v>0</v>
      </c>
      <c r="AP26" s="82">
        <f t="shared" si="38"/>
        <v>0</v>
      </c>
      <c r="AQ26" s="41">
        <v>1265</v>
      </c>
      <c r="AR26" s="41">
        <v>1441</v>
      </c>
      <c r="AS26" s="41">
        <v>1827</v>
      </c>
      <c r="AT26" s="43">
        <f t="shared" si="39"/>
        <v>4533</v>
      </c>
      <c r="AU26" s="81">
        <f t="shared" si="40"/>
        <v>0</v>
      </c>
      <c r="AV26" s="81">
        <f t="shared" si="41"/>
        <v>0</v>
      </c>
      <c r="AW26" s="81">
        <f t="shared" si="42"/>
        <v>0</v>
      </c>
      <c r="AX26" s="82">
        <f t="shared" si="43"/>
        <v>0</v>
      </c>
      <c r="AY26" s="81">
        <f t="shared" si="44"/>
        <v>0</v>
      </c>
      <c r="AZ26" s="81">
        <f t="shared" si="45"/>
        <v>0</v>
      </c>
      <c r="BA26" s="81">
        <f t="shared" si="46"/>
        <v>0</v>
      </c>
      <c r="BB26" s="82">
        <f t="shared" si="47"/>
        <v>0</v>
      </c>
      <c r="BC26" s="82">
        <v>-1119638</v>
      </c>
      <c r="BD26" s="82" t="str">
        <f t="shared" si="48"/>
        <v/>
      </c>
      <c r="BE26" s="82">
        <f t="shared" si="49"/>
        <v>-1119638</v>
      </c>
      <c r="BF26" s="82">
        <f t="shared" si="50"/>
        <v>-1119638</v>
      </c>
      <c r="BG26" s="82" t="str">
        <f t="shared" si="51"/>
        <v/>
      </c>
      <c r="BH26" s="82">
        <f t="shared" si="52"/>
        <v>-1119638</v>
      </c>
      <c r="BI26" s="90" t="str">
        <f t="shared" si="53"/>
        <v/>
      </c>
      <c r="BJ26" s="90" t="str">
        <f t="shared" si="54"/>
        <v/>
      </c>
      <c r="BK26" s="90">
        <f t="shared" si="55"/>
        <v>20.3</v>
      </c>
      <c r="BL26" s="90">
        <f t="shared" si="56"/>
        <v>20.3</v>
      </c>
    </row>
    <row r="27" spans="1:64" s="59" customFormat="1">
      <c r="A27" s="38">
        <v>21</v>
      </c>
      <c r="B27" s="39" t="s">
        <v>16</v>
      </c>
      <c r="C27" s="40" t="s">
        <v>197</v>
      </c>
      <c r="D27" s="41">
        <v>7</v>
      </c>
      <c r="E27" s="42"/>
      <c r="F27" s="43"/>
      <c r="G27" s="43">
        <f t="shared" si="6"/>
        <v>7</v>
      </c>
      <c r="H27" s="45">
        <v>2</v>
      </c>
      <c r="I27" s="45"/>
      <c r="J27" s="45"/>
      <c r="K27" s="45">
        <f t="shared" ref="K27:K70" si="63">H27+I27+J27</f>
        <v>2</v>
      </c>
      <c r="L27" s="45"/>
      <c r="M27" s="45"/>
      <c r="N27" s="45"/>
      <c r="O27" s="45">
        <f t="shared" ref="O27:O70" si="64">L27+M27+N27</f>
        <v>0</v>
      </c>
      <c r="P27" s="45"/>
      <c r="Q27" s="45"/>
      <c r="R27" s="45"/>
      <c r="S27" s="87">
        <f t="shared" ref="S27:S30" si="65">G27</f>
        <v>7</v>
      </c>
      <c r="T27" s="41">
        <f t="shared" ref="T27:T71" si="66">I27*14</f>
        <v>0</v>
      </c>
      <c r="U27" s="41">
        <f t="shared" ref="U27:U71" si="67">J27*14</f>
        <v>0</v>
      </c>
      <c r="V27" s="43">
        <f t="shared" ref="V27:V58" si="68">S27+T27+U27</f>
        <v>7</v>
      </c>
      <c r="W27" s="41">
        <f t="shared" si="22"/>
        <v>0</v>
      </c>
      <c r="X27" s="41">
        <f t="shared" si="23"/>
        <v>0</v>
      </c>
      <c r="Y27" s="41">
        <f t="shared" si="24"/>
        <v>0</v>
      </c>
      <c r="Z27" s="43">
        <f t="shared" si="25"/>
        <v>0</v>
      </c>
      <c r="AA27" s="81">
        <f t="shared" si="26"/>
        <v>0</v>
      </c>
      <c r="AB27" s="81">
        <f t="shared" si="27"/>
        <v>0</v>
      </c>
      <c r="AC27" s="81">
        <f t="shared" si="28"/>
        <v>0</v>
      </c>
      <c r="AD27" s="82">
        <f t="shared" ref="AD27:AD58" si="69">AA27+AB27+AC27</f>
        <v>0</v>
      </c>
      <c r="AE27" s="81">
        <f t="shared" si="30"/>
        <v>7</v>
      </c>
      <c r="AF27" s="81">
        <f t="shared" si="31"/>
        <v>0</v>
      </c>
      <c r="AG27" s="81">
        <f t="shared" si="32"/>
        <v>0</v>
      </c>
      <c r="AH27" s="82">
        <f t="shared" ref="AH27:AH58" si="70">AE27+AF27+AG27</f>
        <v>7</v>
      </c>
      <c r="AI27" s="41">
        <v>19957</v>
      </c>
      <c r="AJ27" s="41">
        <v>33979</v>
      </c>
      <c r="AK27" s="41">
        <v>36287</v>
      </c>
      <c r="AL27" s="43">
        <f t="shared" si="34"/>
        <v>90223</v>
      </c>
      <c r="AM27" s="81">
        <f t="shared" si="35"/>
        <v>0</v>
      </c>
      <c r="AN27" s="81">
        <f t="shared" si="36"/>
        <v>0</v>
      </c>
      <c r="AO27" s="81">
        <f t="shared" si="37"/>
        <v>0</v>
      </c>
      <c r="AP27" s="82">
        <f t="shared" si="38"/>
        <v>0</v>
      </c>
      <c r="AQ27" s="41">
        <v>1265</v>
      </c>
      <c r="AR27" s="41">
        <v>1441</v>
      </c>
      <c r="AS27" s="41">
        <v>1827</v>
      </c>
      <c r="AT27" s="43">
        <f t="shared" si="39"/>
        <v>4533</v>
      </c>
      <c r="AU27" s="81">
        <f t="shared" si="40"/>
        <v>0</v>
      </c>
      <c r="AV27" s="81">
        <f t="shared" si="41"/>
        <v>0</v>
      </c>
      <c r="AW27" s="81">
        <f t="shared" si="42"/>
        <v>0</v>
      </c>
      <c r="AX27" s="82">
        <f t="shared" si="43"/>
        <v>0</v>
      </c>
      <c r="AY27" s="81">
        <f t="shared" si="44"/>
        <v>0</v>
      </c>
      <c r="AZ27" s="81">
        <f t="shared" si="45"/>
        <v>0</v>
      </c>
      <c r="BA27" s="81">
        <f t="shared" si="46"/>
        <v>0</v>
      </c>
      <c r="BB27" s="82">
        <f t="shared" si="47"/>
        <v>0</v>
      </c>
      <c r="BC27" s="82">
        <v>38949</v>
      </c>
      <c r="BD27" s="82">
        <f t="shared" si="48"/>
        <v>38949</v>
      </c>
      <c r="BE27" s="82" t="str">
        <f t="shared" si="49"/>
        <v/>
      </c>
      <c r="BF27" s="82">
        <f t="shared" si="50"/>
        <v>38949</v>
      </c>
      <c r="BG27" s="82">
        <f t="shared" si="51"/>
        <v>38949</v>
      </c>
      <c r="BH27" s="82" t="str">
        <f t="shared" si="52"/>
        <v/>
      </c>
      <c r="BI27" s="90">
        <f t="shared" si="53"/>
        <v>3.5</v>
      </c>
      <c r="BJ27" s="90" t="str">
        <f t="shared" si="54"/>
        <v/>
      </c>
      <c r="BK27" s="90" t="str">
        <f t="shared" si="55"/>
        <v/>
      </c>
      <c r="BL27" s="90">
        <f t="shared" si="56"/>
        <v>3.5</v>
      </c>
    </row>
    <row r="28" spans="1:64" s="59" customFormat="1">
      <c r="A28" s="38">
        <v>22</v>
      </c>
      <c r="B28" s="39" t="s">
        <v>17</v>
      </c>
      <c r="C28" s="40" t="s">
        <v>198</v>
      </c>
      <c r="D28" s="41">
        <v>3</v>
      </c>
      <c r="E28" s="42"/>
      <c r="F28" s="43"/>
      <c r="G28" s="43">
        <f t="shared" si="6"/>
        <v>3</v>
      </c>
      <c r="H28" s="45">
        <v>1</v>
      </c>
      <c r="I28" s="45"/>
      <c r="J28" s="45"/>
      <c r="K28" s="45">
        <f t="shared" si="63"/>
        <v>1</v>
      </c>
      <c r="L28" s="45"/>
      <c r="M28" s="45"/>
      <c r="N28" s="45"/>
      <c r="O28" s="45">
        <f t="shared" si="64"/>
        <v>0</v>
      </c>
      <c r="P28" s="45"/>
      <c r="Q28" s="45"/>
      <c r="R28" s="45"/>
      <c r="S28" s="87">
        <f t="shared" si="65"/>
        <v>3</v>
      </c>
      <c r="T28" s="41">
        <f t="shared" si="66"/>
        <v>0</v>
      </c>
      <c r="U28" s="41">
        <f t="shared" si="67"/>
        <v>0</v>
      </c>
      <c r="V28" s="43">
        <f t="shared" si="68"/>
        <v>3</v>
      </c>
      <c r="W28" s="41">
        <f t="shared" si="22"/>
        <v>0</v>
      </c>
      <c r="X28" s="41">
        <f t="shared" si="23"/>
        <v>0</v>
      </c>
      <c r="Y28" s="41">
        <f t="shared" si="24"/>
        <v>0</v>
      </c>
      <c r="Z28" s="43">
        <f t="shared" si="25"/>
        <v>0</v>
      </c>
      <c r="AA28" s="81">
        <f t="shared" si="26"/>
        <v>0</v>
      </c>
      <c r="AB28" s="81">
        <f t="shared" si="27"/>
        <v>0</v>
      </c>
      <c r="AC28" s="81">
        <f t="shared" si="28"/>
        <v>0</v>
      </c>
      <c r="AD28" s="82">
        <f t="shared" si="69"/>
        <v>0</v>
      </c>
      <c r="AE28" s="81">
        <f t="shared" si="30"/>
        <v>3</v>
      </c>
      <c r="AF28" s="81">
        <f t="shared" si="31"/>
        <v>0</v>
      </c>
      <c r="AG28" s="81">
        <f t="shared" si="32"/>
        <v>0</v>
      </c>
      <c r="AH28" s="82">
        <f t="shared" si="70"/>
        <v>3</v>
      </c>
      <c r="AI28" s="41">
        <v>19957</v>
      </c>
      <c r="AJ28" s="41">
        <v>33979</v>
      </c>
      <c r="AK28" s="41">
        <v>36287</v>
      </c>
      <c r="AL28" s="43">
        <f t="shared" si="34"/>
        <v>90223</v>
      </c>
      <c r="AM28" s="81">
        <f t="shared" si="35"/>
        <v>0</v>
      </c>
      <c r="AN28" s="81">
        <f t="shared" si="36"/>
        <v>0</v>
      </c>
      <c r="AO28" s="81">
        <f t="shared" si="37"/>
        <v>0</v>
      </c>
      <c r="AP28" s="82">
        <f t="shared" si="38"/>
        <v>0</v>
      </c>
      <c r="AQ28" s="41">
        <v>1265</v>
      </c>
      <c r="AR28" s="41">
        <v>1441</v>
      </c>
      <c r="AS28" s="41">
        <v>1827</v>
      </c>
      <c r="AT28" s="43">
        <f t="shared" si="39"/>
        <v>4533</v>
      </c>
      <c r="AU28" s="81">
        <f t="shared" si="40"/>
        <v>0</v>
      </c>
      <c r="AV28" s="81">
        <f t="shared" si="41"/>
        <v>0</v>
      </c>
      <c r="AW28" s="81">
        <f t="shared" si="42"/>
        <v>0</v>
      </c>
      <c r="AX28" s="82">
        <f t="shared" si="43"/>
        <v>0</v>
      </c>
      <c r="AY28" s="81">
        <f t="shared" si="44"/>
        <v>0</v>
      </c>
      <c r="AZ28" s="81">
        <f t="shared" si="45"/>
        <v>0</v>
      </c>
      <c r="BA28" s="81">
        <f t="shared" si="46"/>
        <v>0</v>
      </c>
      <c r="BB28" s="82">
        <f t="shared" si="47"/>
        <v>0</v>
      </c>
      <c r="BC28" s="82">
        <v>-11251</v>
      </c>
      <c r="BD28" s="82" t="str">
        <f t="shared" si="48"/>
        <v/>
      </c>
      <c r="BE28" s="82">
        <f t="shared" si="49"/>
        <v>-11251</v>
      </c>
      <c r="BF28" s="82">
        <f t="shared" si="50"/>
        <v>-11251</v>
      </c>
      <c r="BG28" s="82" t="str">
        <f t="shared" si="51"/>
        <v/>
      </c>
      <c r="BH28" s="82">
        <f t="shared" si="52"/>
        <v>-11251</v>
      </c>
      <c r="BI28" s="90">
        <f t="shared" si="53"/>
        <v>3</v>
      </c>
      <c r="BJ28" s="90" t="str">
        <f t="shared" si="54"/>
        <v/>
      </c>
      <c r="BK28" s="90" t="str">
        <f t="shared" si="55"/>
        <v/>
      </c>
      <c r="BL28" s="90">
        <f t="shared" si="56"/>
        <v>3</v>
      </c>
    </row>
    <row r="29" spans="1:64" s="59" customFormat="1">
      <c r="A29" s="38">
        <v>23</v>
      </c>
      <c r="B29" s="39" t="s">
        <v>18</v>
      </c>
      <c r="C29" s="40" t="s">
        <v>199</v>
      </c>
      <c r="D29" s="41">
        <v>14</v>
      </c>
      <c r="E29" s="42"/>
      <c r="F29" s="43"/>
      <c r="G29" s="43">
        <f t="shared" si="6"/>
        <v>14</v>
      </c>
      <c r="H29" s="45">
        <v>2</v>
      </c>
      <c r="I29" s="45"/>
      <c r="J29" s="45"/>
      <c r="K29" s="45">
        <f t="shared" si="63"/>
        <v>2</v>
      </c>
      <c r="L29" s="45"/>
      <c r="M29" s="45"/>
      <c r="N29" s="45"/>
      <c r="O29" s="45">
        <f t="shared" si="64"/>
        <v>0</v>
      </c>
      <c r="P29" s="45"/>
      <c r="Q29" s="45"/>
      <c r="R29" s="45"/>
      <c r="S29" s="87">
        <f t="shared" si="65"/>
        <v>14</v>
      </c>
      <c r="T29" s="41">
        <f t="shared" si="66"/>
        <v>0</v>
      </c>
      <c r="U29" s="41">
        <f t="shared" si="67"/>
        <v>0</v>
      </c>
      <c r="V29" s="43">
        <f t="shared" si="68"/>
        <v>14</v>
      </c>
      <c r="W29" s="41">
        <f t="shared" si="22"/>
        <v>0</v>
      </c>
      <c r="X29" s="41">
        <f t="shared" si="23"/>
        <v>0</v>
      </c>
      <c r="Y29" s="41">
        <f t="shared" si="24"/>
        <v>0</v>
      </c>
      <c r="Z29" s="43">
        <f t="shared" si="25"/>
        <v>0</v>
      </c>
      <c r="AA29" s="81">
        <f t="shared" si="26"/>
        <v>0</v>
      </c>
      <c r="AB29" s="81">
        <f t="shared" si="27"/>
        <v>0</v>
      </c>
      <c r="AC29" s="81">
        <f t="shared" si="28"/>
        <v>0</v>
      </c>
      <c r="AD29" s="82">
        <f t="shared" si="69"/>
        <v>0</v>
      </c>
      <c r="AE29" s="81">
        <f t="shared" si="30"/>
        <v>14</v>
      </c>
      <c r="AF29" s="81">
        <f t="shared" si="31"/>
        <v>0</v>
      </c>
      <c r="AG29" s="81">
        <f t="shared" si="32"/>
        <v>0</v>
      </c>
      <c r="AH29" s="82">
        <f t="shared" si="70"/>
        <v>14</v>
      </c>
      <c r="AI29" s="41">
        <v>19957</v>
      </c>
      <c r="AJ29" s="41">
        <v>33979</v>
      </c>
      <c r="AK29" s="41">
        <v>36287</v>
      </c>
      <c r="AL29" s="43">
        <f t="shared" si="34"/>
        <v>90223</v>
      </c>
      <c r="AM29" s="81">
        <f t="shared" si="35"/>
        <v>0</v>
      </c>
      <c r="AN29" s="81">
        <f t="shared" si="36"/>
        <v>0</v>
      </c>
      <c r="AO29" s="81">
        <f t="shared" si="37"/>
        <v>0</v>
      </c>
      <c r="AP29" s="82">
        <f t="shared" si="38"/>
        <v>0</v>
      </c>
      <c r="AQ29" s="41">
        <v>1265</v>
      </c>
      <c r="AR29" s="41">
        <v>1441</v>
      </c>
      <c r="AS29" s="41">
        <v>1827</v>
      </c>
      <c r="AT29" s="43">
        <f t="shared" si="39"/>
        <v>4533</v>
      </c>
      <c r="AU29" s="81">
        <f t="shared" si="40"/>
        <v>0</v>
      </c>
      <c r="AV29" s="81">
        <f t="shared" si="41"/>
        <v>0</v>
      </c>
      <c r="AW29" s="81">
        <f t="shared" si="42"/>
        <v>0</v>
      </c>
      <c r="AX29" s="82">
        <f t="shared" si="43"/>
        <v>0</v>
      </c>
      <c r="AY29" s="81">
        <f t="shared" si="44"/>
        <v>0</v>
      </c>
      <c r="AZ29" s="81">
        <f t="shared" si="45"/>
        <v>0</v>
      </c>
      <c r="BA29" s="81">
        <f t="shared" si="46"/>
        <v>0</v>
      </c>
      <c r="BB29" s="82">
        <f t="shared" si="47"/>
        <v>0</v>
      </c>
      <c r="BC29" s="82">
        <v>186156</v>
      </c>
      <c r="BD29" s="82">
        <f t="shared" si="48"/>
        <v>186156</v>
      </c>
      <c r="BE29" s="82" t="str">
        <f t="shared" si="49"/>
        <v/>
      </c>
      <c r="BF29" s="82">
        <f t="shared" si="50"/>
        <v>186156</v>
      </c>
      <c r="BG29" s="82">
        <f t="shared" si="51"/>
        <v>186156</v>
      </c>
      <c r="BH29" s="82" t="str">
        <f t="shared" si="52"/>
        <v/>
      </c>
      <c r="BI29" s="90">
        <f t="shared" si="53"/>
        <v>7</v>
      </c>
      <c r="BJ29" s="90" t="str">
        <f t="shared" si="54"/>
        <v/>
      </c>
      <c r="BK29" s="90" t="str">
        <f t="shared" si="55"/>
        <v/>
      </c>
      <c r="BL29" s="90">
        <f t="shared" si="56"/>
        <v>7</v>
      </c>
    </row>
    <row r="30" spans="1:64" s="59" customFormat="1">
      <c r="A30" s="38">
        <v>24</v>
      </c>
      <c r="B30" s="39" t="s">
        <v>19</v>
      </c>
      <c r="C30" s="40" t="s">
        <v>200</v>
      </c>
      <c r="D30" s="41">
        <v>5</v>
      </c>
      <c r="E30" s="42"/>
      <c r="F30" s="43"/>
      <c r="G30" s="43">
        <f t="shared" si="6"/>
        <v>5</v>
      </c>
      <c r="H30" s="45">
        <v>2</v>
      </c>
      <c r="I30" s="45"/>
      <c r="J30" s="45"/>
      <c r="K30" s="45">
        <f t="shared" si="63"/>
        <v>2</v>
      </c>
      <c r="L30" s="45"/>
      <c r="M30" s="45"/>
      <c r="N30" s="45"/>
      <c r="O30" s="45">
        <f t="shared" si="64"/>
        <v>0</v>
      </c>
      <c r="P30" s="45"/>
      <c r="Q30" s="45"/>
      <c r="R30" s="45"/>
      <c r="S30" s="87">
        <f t="shared" si="65"/>
        <v>5</v>
      </c>
      <c r="T30" s="41">
        <f t="shared" si="66"/>
        <v>0</v>
      </c>
      <c r="U30" s="41">
        <f t="shared" si="67"/>
        <v>0</v>
      </c>
      <c r="V30" s="43">
        <f t="shared" si="68"/>
        <v>5</v>
      </c>
      <c r="W30" s="41">
        <f t="shared" si="22"/>
        <v>0</v>
      </c>
      <c r="X30" s="41">
        <f t="shared" si="23"/>
        <v>0</v>
      </c>
      <c r="Y30" s="41">
        <f t="shared" si="24"/>
        <v>0</v>
      </c>
      <c r="Z30" s="43">
        <f t="shared" si="25"/>
        <v>0</v>
      </c>
      <c r="AA30" s="81">
        <f t="shared" si="26"/>
        <v>0</v>
      </c>
      <c r="AB30" s="81">
        <f t="shared" si="27"/>
        <v>0</v>
      </c>
      <c r="AC30" s="81">
        <f t="shared" si="28"/>
        <v>0</v>
      </c>
      <c r="AD30" s="82">
        <f t="shared" si="69"/>
        <v>0</v>
      </c>
      <c r="AE30" s="81">
        <f t="shared" si="30"/>
        <v>5</v>
      </c>
      <c r="AF30" s="81">
        <f t="shared" si="31"/>
        <v>0</v>
      </c>
      <c r="AG30" s="81">
        <f t="shared" si="32"/>
        <v>0</v>
      </c>
      <c r="AH30" s="82">
        <f t="shared" si="70"/>
        <v>5</v>
      </c>
      <c r="AI30" s="41">
        <v>19957</v>
      </c>
      <c r="AJ30" s="41">
        <v>33979</v>
      </c>
      <c r="AK30" s="41">
        <v>36287</v>
      </c>
      <c r="AL30" s="43">
        <f t="shared" si="34"/>
        <v>90223</v>
      </c>
      <c r="AM30" s="81">
        <f t="shared" si="35"/>
        <v>0</v>
      </c>
      <c r="AN30" s="81">
        <f t="shared" si="36"/>
        <v>0</v>
      </c>
      <c r="AO30" s="81">
        <f t="shared" si="37"/>
        <v>0</v>
      </c>
      <c r="AP30" s="82">
        <f t="shared" si="38"/>
        <v>0</v>
      </c>
      <c r="AQ30" s="41">
        <v>1265</v>
      </c>
      <c r="AR30" s="41">
        <v>1441</v>
      </c>
      <c r="AS30" s="41">
        <v>1827</v>
      </c>
      <c r="AT30" s="43">
        <f t="shared" si="39"/>
        <v>4533</v>
      </c>
      <c r="AU30" s="81">
        <f t="shared" si="40"/>
        <v>0</v>
      </c>
      <c r="AV30" s="81">
        <f t="shared" si="41"/>
        <v>0</v>
      </c>
      <c r="AW30" s="81">
        <f t="shared" si="42"/>
        <v>0</v>
      </c>
      <c r="AX30" s="82">
        <f t="shared" si="43"/>
        <v>0</v>
      </c>
      <c r="AY30" s="81">
        <f t="shared" si="44"/>
        <v>0</v>
      </c>
      <c r="AZ30" s="81">
        <f t="shared" si="45"/>
        <v>0</v>
      </c>
      <c r="BA30" s="81">
        <f t="shared" si="46"/>
        <v>0</v>
      </c>
      <c r="BB30" s="82">
        <f t="shared" si="47"/>
        <v>0</v>
      </c>
      <c r="BC30" s="82">
        <v>-2351</v>
      </c>
      <c r="BD30" s="82" t="str">
        <f t="shared" si="48"/>
        <v/>
      </c>
      <c r="BE30" s="82">
        <f t="shared" si="49"/>
        <v>-2351</v>
      </c>
      <c r="BF30" s="82">
        <f t="shared" si="50"/>
        <v>-2351</v>
      </c>
      <c r="BG30" s="82" t="str">
        <f t="shared" si="51"/>
        <v/>
      </c>
      <c r="BH30" s="82">
        <f t="shared" si="52"/>
        <v>-2351</v>
      </c>
      <c r="BI30" s="90">
        <f t="shared" si="53"/>
        <v>2.5</v>
      </c>
      <c r="BJ30" s="90" t="str">
        <f t="shared" si="54"/>
        <v/>
      </c>
      <c r="BK30" s="90" t="str">
        <f t="shared" si="55"/>
        <v/>
      </c>
      <c r="BL30" s="90">
        <f t="shared" si="56"/>
        <v>2.5</v>
      </c>
    </row>
    <row r="31" spans="1:64" s="59" customFormat="1">
      <c r="A31" s="38">
        <v>25</v>
      </c>
      <c r="B31" s="39" t="s">
        <v>50</v>
      </c>
      <c r="C31" s="40" t="s">
        <v>201</v>
      </c>
      <c r="D31" s="41">
        <v>12</v>
      </c>
      <c r="E31" s="42">
        <v>37</v>
      </c>
      <c r="F31" s="43">
        <v>23</v>
      </c>
      <c r="G31" s="43">
        <f t="shared" si="6"/>
        <v>72</v>
      </c>
      <c r="H31" s="45">
        <v>2</v>
      </c>
      <c r="I31" s="45">
        <v>5</v>
      </c>
      <c r="J31" s="45">
        <v>2</v>
      </c>
      <c r="K31" s="45">
        <f t="shared" si="63"/>
        <v>9</v>
      </c>
      <c r="L31" s="45"/>
      <c r="M31" s="45"/>
      <c r="N31" s="45"/>
      <c r="O31" s="45">
        <f t="shared" si="64"/>
        <v>0</v>
      </c>
      <c r="P31" s="45"/>
      <c r="Q31" s="45"/>
      <c r="R31" s="45"/>
      <c r="S31" s="41">
        <f t="shared" ref="S31:S67" si="71">H31*14</f>
        <v>28</v>
      </c>
      <c r="T31" s="41">
        <f t="shared" si="66"/>
        <v>70</v>
      </c>
      <c r="U31" s="41">
        <f t="shared" si="67"/>
        <v>28</v>
      </c>
      <c r="V31" s="43">
        <f t="shared" si="68"/>
        <v>126</v>
      </c>
      <c r="W31" s="41">
        <f t="shared" si="22"/>
        <v>16</v>
      </c>
      <c r="X31" s="41">
        <f t="shared" si="23"/>
        <v>33</v>
      </c>
      <c r="Y31" s="41">
        <f t="shared" si="24"/>
        <v>5</v>
      </c>
      <c r="Z31" s="43">
        <f t="shared" si="25"/>
        <v>54</v>
      </c>
      <c r="AA31" s="81">
        <f t="shared" si="26"/>
        <v>12</v>
      </c>
      <c r="AB31" s="81">
        <f t="shared" si="27"/>
        <v>24.75</v>
      </c>
      <c r="AC31" s="81">
        <f t="shared" si="28"/>
        <v>3.75</v>
      </c>
      <c r="AD31" s="82">
        <f t="shared" si="69"/>
        <v>40.5</v>
      </c>
      <c r="AE31" s="81">
        <f t="shared" si="30"/>
        <v>24</v>
      </c>
      <c r="AF31" s="81">
        <f t="shared" si="31"/>
        <v>61.75</v>
      </c>
      <c r="AG31" s="81">
        <f t="shared" si="32"/>
        <v>26.75</v>
      </c>
      <c r="AH31" s="82">
        <f t="shared" si="70"/>
        <v>112.5</v>
      </c>
      <c r="AI31" s="41">
        <v>19957</v>
      </c>
      <c r="AJ31" s="41">
        <v>33979</v>
      </c>
      <c r="AK31" s="41">
        <v>36287</v>
      </c>
      <c r="AL31" s="43">
        <f t="shared" si="34"/>
        <v>90223</v>
      </c>
      <c r="AM31" s="81">
        <f t="shared" si="35"/>
        <v>239484</v>
      </c>
      <c r="AN31" s="81">
        <f t="shared" si="36"/>
        <v>840980.25</v>
      </c>
      <c r="AO31" s="81">
        <f t="shared" si="37"/>
        <v>136076.25</v>
      </c>
      <c r="AP31" s="82">
        <f t="shared" si="38"/>
        <v>1216540.5</v>
      </c>
      <c r="AQ31" s="41">
        <v>1265</v>
      </c>
      <c r="AR31" s="41">
        <v>1441</v>
      </c>
      <c r="AS31" s="41">
        <v>1827</v>
      </c>
      <c r="AT31" s="43">
        <f t="shared" si="39"/>
        <v>4533</v>
      </c>
      <c r="AU31" s="81">
        <f t="shared" si="40"/>
        <v>15180</v>
      </c>
      <c r="AV31" s="81">
        <f t="shared" si="41"/>
        <v>35664.75</v>
      </c>
      <c r="AW31" s="81">
        <f t="shared" si="42"/>
        <v>6851.25</v>
      </c>
      <c r="AX31" s="82">
        <f t="shared" si="43"/>
        <v>57696</v>
      </c>
      <c r="AY31" s="81">
        <f t="shared" si="44"/>
        <v>254664</v>
      </c>
      <c r="AZ31" s="81">
        <f t="shared" si="45"/>
        <v>876645</v>
      </c>
      <c r="BA31" s="81">
        <f t="shared" si="46"/>
        <v>142927.5</v>
      </c>
      <c r="BB31" s="82">
        <f t="shared" si="47"/>
        <v>1274236.5</v>
      </c>
      <c r="BC31" s="82">
        <v>1676701</v>
      </c>
      <c r="BD31" s="82">
        <f t="shared" si="48"/>
        <v>1676701</v>
      </c>
      <c r="BE31" s="82" t="str">
        <f t="shared" si="49"/>
        <v/>
      </c>
      <c r="BF31" s="82">
        <f t="shared" si="50"/>
        <v>402464.5</v>
      </c>
      <c r="BG31" s="82">
        <f t="shared" si="51"/>
        <v>402464.5</v>
      </c>
      <c r="BH31" s="82" t="str">
        <f t="shared" si="52"/>
        <v/>
      </c>
      <c r="BI31" s="90">
        <f t="shared" si="53"/>
        <v>6</v>
      </c>
      <c r="BJ31" s="90">
        <f t="shared" si="54"/>
        <v>7.4</v>
      </c>
      <c r="BK31" s="90">
        <f t="shared" si="55"/>
        <v>11.5</v>
      </c>
      <c r="BL31" s="90">
        <f t="shared" si="56"/>
        <v>8</v>
      </c>
    </row>
    <row r="32" spans="1:64" s="59" customFormat="1">
      <c r="A32" s="38">
        <v>26</v>
      </c>
      <c r="B32" s="39" t="s">
        <v>20</v>
      </c>
      <c r="C32" s="40" t="s">
        <v>202</v>
      </c>
      <c r="D32" s="41">
        <v>11</v>
      </c>
      <c r="E32" s="42"/>
      <c r="F32" s="43"/>
      <c r="G32" s="43">
        <f t="shared" si="6"/>
        <v>11</v>
      </c>
      <c r="H32" s="45">
        <v>2</v>
      </c>
      <c r="I32" s="45"/>
      <c r="J32" s="45"/>
      <c r="K32" s="45">
        <f t="shared" si="63"/>
        <v>2</v>
      </c>
      <c r="L32" s="45"/>
      <c r="M32" s="45"/>
      <c r="N32" s="45"/>
      <c r="O32" s="45">
        <f t="shared" si="64"/>
        <v>0</v>
      </c>
      <c r="P32" s="45"/>
      <c r="Q32" s="45"/>
      <c r="R32" s="45"/>
      <c r="S32" s="87">
        <f t="shared" ref="S32:S33" si="72">G32</f>
        <v>11</v>
      </c>
      <c r="T32" s="41">
        <f t="shared" si="66"/>
        <v>0</v>
      </c>
      <c r="U32" s="41">
        <f t="shared" si="67"/>
        <v>0</v>
      </c>
      <c r="V32" s="43">
        <f t="shared" si="68"/>
        <v>11</v>
      </c>
      <c r="W32" s="41">
        <f t="shared" si="22"/>
        <v>0</v>
      </c>
      <c r="X32" s="41">
        <f t="shared" si="23"/>
        <v>0</v>
      </c>
      <c r="Y32" s="41">
        <f t="shared" si="24"/>
        <v>0</v>
      </c>
      <c r="Z32" s="43">
        <f t="shared" si="25"/>
        <v>0</v>
      </c>
      <c r="AA32" s="81">
        <f t="shared" si="26"/>
        <v>0</v>
      </c>
      <c r="AB32" s="81">
        <f t="shared" si="27"/>
        <v>0</v>
      </c>
      <c r="AC32" s="81">
        <f t="shared" si="28"/>
        <v>0</v>
      </c>
      <c r="AD32" s="82">
        <f t="shared" si="69"/>
        <v>0</v>
      </c>
      <c r="AE32" s="81">
        <f t="shared" si="30"/>
        <v>11</v>
      </c>
      <c r="AF32" s="81">
        <f t="shared" si="31"/>
        <v>0</v>
      </c>
      <c r="AG32" s="81">
        <f t="shared" si="32"/>
        <v>0</v>
      </c>
      <c r="AH32" s="82">
        <f t="shared" si="70"/>
        <v>11</v>
      </c>
      <c r="AI32" s="41">
        <v>19957</v>
      </c>
      <c r="AJ32" s="41">
        <v>33979</v>
      </c>
      <c r="AK32" s="41">
        <v>36287</v>
      </c>
      <c r="AL32" s="43">
        <f t="shared" si="34"/>
        <v>90223</v>
      </c>
      <c r="AM32" s="81">
        <f t="shared" si="35"/>
        <v>0</v>
      </c>
      <c r="AN32" s="81">
        <f t="shared" si="36"/>
        <v>0</v>
      </c>
      <c r="AO32" s="81">
        <f t="shared" si="37"/>
        <v>0</v>
      </c>
      <c r="AP32" s="82">
        <f t="shared" si="38"/>
        <v>0</v>
      </c>
      <c r="AQ32" s="41">
        <v>1265</v>
      </c>
      <c r="AR32" s="41">
        <v>1441</v>
      </c>
      <c r="AS32" s="41">
        <v>1827</v>
      </c>
      <c r="AT32" s="43">
        <f t="shared" si="39"/>
        <v>4533</v>
      </c>
      <c r="AU32" s="81">
        <f t="shared" si="40"/>
        <v>0</v>
      </c>
      <c r="AV32" s="81">
        <f t="shared" si="41"/>
        <v>0</v>
      </c>
      <c r="AW32" s="81">
        <f t="shared" si="42"/>
        <v>0</v>
      </c>
      <c r="AX32" s="82">
        <f t="shared" si="43"/>
        <v>0</v>
      </c>
      <c r="AY32" s="81">
        <f t="shared" si="44"/>
        <v>0</v>
      </c>
      <c r="AZ32" s="81">
        <f t="shared" si="45"/>
        <v>0</v>
      </c>
      <c r="BA32" s="81">
        <f t="shared" si="46"/>
        <v>0</v>
      </c>
      <c r="BB32" s="82">
        <f t="shared" si="47"/>
        <v>0</v>
      </c>
      <c r="BC32" s="82">
        <v>87547</v>
      </c>
      <c r="BD32" s="82">
        <f t="shared" si="48"/>
        <v>87547</v>
      </c>
      <c r="BE32" s="82" t="str">
        <f t="shared" si="49"/>
        <v/>
      </c>
      <c r="BF32" s="82">
        <f t="shared" si="50"/>
        <v>87547</v>
      </c>
      <c r="BG32" s="82">
        <f t="shared" si="51"/>
        <v>87547</v>
      </c>
      <c r="BH32" s="82" t="str">
        <f t="shared" si="52"/>
        <v/>
      </c>
      <c r="BI32" s="90">
        <f t="shared" si="53"/>
        <v>5.5</v>
      </c>
      <c r="BJ32" s="90" t="str">
        <f t="shared" si="54"/>
        <v/>
      </c>
      <c r="BK32" s="90" t="str">
        <f t="shared" si="55"/>
        <v/>
      </c>
      <c r="BL32" s="90">
        <f t="shared" si="56"/>
        <v>5.5</v>
      </c>
    </row>
    <row r="33" spans="1:64" s="59" customFormat="1">
      <c r="A33" s="38">
        <v>27</v>
      </c>
      <c r="B33" s="39" t="s">
        <v>21</v>
      </c>
      <c r="C33" s="40" t="s">
        <v>203</v>
      </c>
      <c r="D33" s="41">
        <v>5</v>
      </c>
      <c r="E33" s="42"/>
      <c r="F33" s="43"/>
      <c r="G33" s="43">
        <f t="shared" si="6"/>
        <v>5</v>
      </c>
      <c r="H33" s="45">
        <v>2</v>
      </c>
      <c r="I33" s="45"/>
      <c r="J33" s="45"/>
      <c r="K33" s="45">
        <f t="shared" si="63"/>
        <v>2</v>
      </c>
      <c r="L33" s="45"/>
      <c r="M33" s="45"/>
      <c r="N33" s="45"/>
      <c r="O33" s="45">
        <f t="shared" si="64"/>
        <v>0</v>
      </c>
      <c r="P33" s="45"/>
      <c r="Q33" s="45"/>
      <c r="R33" s="45"/>
      <c r="S33" s="87">
        <f t="shared" si="72"/>
        <v>5</v>
      </c>
      <c r="T33" s="41">
        <f t="shared" si="66"/>
        <v>0</v>
      </c>
      <c r="U33" s="41">
        <f t="shared" si="67"/>
        <v>0</v>
      </c>
      <c r="V33" s="43">
        <f t="shared" si="68"/>
        <v>5</v>
      </c>
      <c r="W33" s="41">
        <f t="shared" si="22"/>
        <v>0</v>
      </c>
      <c r="X33" s="41">
        <f t="shared" si="23"/>
        <v>0</v>
      </c>
      <c r="Y33" s="41">
        <f t="shared" si="24"/>
        <v>0</v>
      </c>
      <c r="Z33" s="43">
        <f t="shared" si="25"/>
        <v>0</v>
      </c>
      <c r="AA33" s="81">
        <f t="shared" si="26"/>
        <v>0</v>
      </c>
      <c r="AB33" s="81">
        <f t="shared" si="27"/>
        <v>0</v>
      </c>
      <c r="AC33" s="81">
        <f t="shared" si="28"/>
        <v>0</v>
      </c>
      <c r="AD33" s="82">
        <f t="shared" si="69"/>
        <v>0</v>
      </c>
      <c r="AE33" s="81">
        <f t="shared" si="30"/>
        <v>5</v>
      </c>
      <c r="AF33" s="81">
        <f t="shared" si="31"/>
        <v>0</v>
      </c>
      <c r="AG33" s="81">
        <f t="shared" si="32"/>
        <v>0</v>
      </c>
      <c r="AH33" s="82">
        <f t="shared" si="70"/>
        <v>5</v>
      </c>
      <c r="AI33" s="41">
        <v>19957</v>
      </c>
      <c r="AJ33" s="41">
        <v>33979</v>
      </c>
      <c r="AK33" s="41">
        <v>36287</v>
      </c>
      <c r="AL33" s="43">
        <f t="shared" si="34"/>
        <v>90223</v>
      </c>
      <c r="AM33" s="81">
        <f t="shared" si="35"/>
        <v>0</v>
      </c>
      <c r="AN33" s="81">
        <f t="shared" si="36"/>
        <v>0</v>
      </c>
      <c r="AO33" s="81">
        <f t="shared" si="37"/>
        <v>0</v>
      </c>
      <c r="AP33" s="82">
        <f t="shared" si="38"/>
        <v>0</v>
      </c>
      <c r="AQ33" s="41">
        <v>1265</v>
      </c>
      <c r="AR33" s="41">
        <v>1441</v>
      </c>
      <c r="AS33" s="41">
        <v>1827</v>
      </c>
      <c r="AT33" s="43">
        <f t="shared" si="39"/>
        <v>4533</v>
      </c>
      <c r="AU33" s="81">
        <f t="shared" si="40"/>
        <v>0</v>
      </c>
      <c r="AV33" s="81">
        <f t="shared" si="41"/>
        <v>0</v>
      </c>
      <c r="AW33" s="81">
        <f t="shared" si="42"/>
        <v>0</v>
      </c>
      <c r="AX33" s="82">
        <f t="shared" si="43"/>
        <v>0</v>
      </c>
      <c r="AY33" s="81">
        <f t="shared" si="44"/>
        <v>0</v>
      </c>
      <c r="AZ33" s="81">
        <f t="shared" si="45"/>
        <v>0</v>
      </c>
      <c r="BA33" s="81">
        <f t="shared" si="46"/>
        <v>0</v>
      </c>
      <c r="BB33" s="82">
        <f t="shared" si="47"/>
        <v>0</v>
      </c>
      <c r="BC33" s="82">
        <v>4298</v>
      </c>
      <c r="BD33" s="82">
        <f t="shared" si="48"/>
        <v>4298</v>
      </c>
      <c r="BE33" s="82" t="str">
        <f t="shared" si="49"/>
        <v/>
      </c>
      <c r="BF33" s="82">
        <f t="shared" si="50"/>
        <v>4298</v>
      </c>
      <c r="BG33" s="82">
        <f t="shared" si="51"/>
        <v>4298</v>
      </c>
      <c r="BH33" s="82" t="str">
        <f t="shared" si="52"/>
        <v/>
      </c>
      <c r="BI33" s="90">
        <f t="shared" si="53"/>
        <v>2.5</v>
      </c>
      <c r="BJ33" s="90" t="str">
        <f t="shared" si="54"/>
        <v/>
      </c>
      <c r="BK33" s="90" t="str">
        <f t="shared" si="55"/>
        <v/>
      </c>
      <c r="BL33" s="90">
        <f t="shared" si="56"/>
        <v>2.5</v>
      </c>
    </row>
    <row r="34" spans="1:64" s="59" customFormat="1">
      <c r="A34" s="38">
        <v>28</v>
      </c>
      <c r="B34" s="39" t="s">
        <v>22</v>
      </c>
      <c r="C34" s="40" t="s">
        <v>204</v>
      </c>
      <c r="D34" s="41">
        <v>27</v>
      </c>
      <c r="E34" s="42"/>
      <c r="F34" s="43"/>
      <c r="G34" s="43">
        <f t="shared" si="6"/>
        <v>27</v>
      </c>
      <c r="H34" s="45">
        <v>3</v>
      </c>
      <c r="I34" s="45"/>
      <c r="J34" s="45"/>
      <c r="K34" s="45">
        <f t="shared" si="63"/>
        <v>3</v>
      </c>
      <c r="L34" s="45"/>
      <c r="M34" s="45"/>
      <c r="N34" s="45"/>
      <c r="O34" s="45">
        <f t="shared" si="64"/>
        <v>0</v>
      </c>
      <c r="P34" s="45"/>
      <c r="Q34" s="45"/>
      <c r="R34" s="45"/>
      <c r="S34" s="41">
        <f t="shared" si="71"/>
        <v>42</v>
      </c>
      <c r="T34" s="41">
        <f t="shared" si="66"/>
        <v>0</v>
      </c>
      <c r="U34" s="41">
        <f t="shared" si="67"/>
        <v>0</v>
      </c>
      <c r="V34" s="43">
        <f t="shared" si="68"/>
        <v>42</v>
      </c>
      <c r="W34" s="41">
        <f t="shared" si="22"/>
        <v>15</v>
      </c>
      <c r="X34" s="41">
        <f t="shared" si="23"/>
        <v>0</v>
      </c>
      <c r="Y34" s="41">
        <f t="shared" si="24"/>
        <v>0</v>
      </c>
      <c r="Z34" s="43">
        <f t="shared" si="25"/>
        <v>15</v>
      </c>
      <c r="AA34" s="81">
        <f t="shared" si="26"/>
        <v>11.25</v>
      </c>
      <c r="AB34" s="81">
        <f t="shared" si="27"/>
        <v>0</v>
      </c>
      <c r="AC34" s="81">
        <f t="shared" si="28"/>
        <v>0</v>
      </c>
      <c r="AD34" s="82">
        <f t="shared" si="69"/>
        <v>11.25</v>
      </c>
      <c r="AE34" s="81">
        <f t="shared" si="30"/>
        <v>38.25</v>
      </c>
      <c r="AF34" s="81">
        <f t="shared" si="31"/>
        <v>0</v>
      </c>
      <c r="AG34" s="81">
        <f t="shared" si="32"/>
        <v>0</v>
      </c>
      <c r="AH34" s="82">
        <f t="shared" si="70"/>
        <v>38.25</v>
      </c>
      <c r="AI34" s="41">
        <v>19957</v>
      </c>
      <c r="AJ34" s="41">
        <v>33979</v>
      </c>
      <c r="AK34" s="41">
        <v>36287</v>
      </c>
      <c r="AL34" s="43">
        <f t="shared" si="34"/>
        <v>90223</v>
      </c>
      <c r="AM34" s="81">
        <f t="shared" si="35"/>
        <v>224516.25</v>
      </c>
      <c r="AN34" s="81">
        <f t="shared" si="36"/>
        <v>0</v>
      </c>
      <c r="AO34" s="81">
        <f t="shared" si="37"/>
        <v>0</v>
      </c>
      <c r="AP34" s="82">
        <f t="shared" si="38"/>
        <v>224516.25</v>
      </c>
      <c r="AQ34" s="41">
        <v>1265</v>
      </c>
      <c r="AR34" s="41">
        <v>1441</v>
      </c>
      <c r="AS34" s="41">
        <v>1827</v>
      </c>
      <c r="AT34" s="43">
        <f t="shared" si="39"/>
        <v>4533</v>
      </c>
      <c r="AU34" s="81">
        <f t="shared" si="40"/>
        <v>14231.25</v>
      </c>
      <c r="AV34" s="81">
        <f t="shared" si="41"/>
        <v>0</v>
      </c>
      <c r="AW34" s="81">
        <f t="shared" si="42"/>
        <v>0</v>
      </c>
      <c r="AX34" s="82">
        <f t="shared" si="43"/>
        <v>14231.25</v>
      </c>
      <c r="AY34" s="81">
        <f t="shared" si="44"/>
        <v>238747.5</v>
      </c>
      <c r="AZ34" s="81">
        <f t="shared" si="45"/>
        <v>0</v>
      </c>
      <c r="BA34" s="81">
        <f t="shared" si="46"/>
        <v>0</v>
      </c>
      <c r="BB34" s="82">
        <f t="shared" si="47"/>
        <v>238747.5</v>
      </c>
      <c r="BC34" s="82">
        <v>162552</v>
      </c>
      <c r="BD34" s="82">
        <f t="shared" si="48"/>
        <v>162552</v>
      </c>
      <c r="BE34" s="82" t="str">
        <f t="shared" si="49"/>
        <v/>
      </c>
      <c r="BF34" s="82">
        <f t="shared" si="50"/>
        <v>-76195.5</v>
      </c>
      <c r="BG34" s="82" t="str">
        <f t="shared" si="51"/>
        <v/>
      </c>
      <c r="BH34" s="82">
        <f t="shared" si="52"/>
        <v>-76195.5</v>
      </c>
      <c r="BI34" s="90">
        <f t="shared" si="53"/>
        <v>9</v>
      </c>
      <c r="BJ34" s="90" t="str">
        <f t="shared" si="54"/>
        <v/>
      </c>
      <c r="BK34" s="90" t="str">
        <f t="shared" si="55"/>
        <v/>
      </c>
      <c r="BL34" s="90">
        <f t="shared" si="56"/>
        <v>9</v>
      </c>
    </row>
    <row r="35" spans="1:64" s="59" customFormat="1">
      <c r="A35" s="38">
        <v>29</v>
      </c>
      <c r="B35" s="39" t="s">
        <v>23</v>
      </c>
      <c r="C35" s="40" t="s">
        <v>205</v>
      </c>
      <c r="D35" s="41">
        <v>4</v>
      </c>
      <c r="E35" s="42"/>
      <c r="F35" s="43"/>
      <c r="G35" s="43">
        <f t="shared" si="6"/>
        <v>4</v>
      </c>
      <c r="H35" s="45">
        <v>1</v>
      </c>
      <c r="I35" s="45"/>
      <c r="J35" s="45"/>
      <c r="K35" s="45">
        <f t="shared" si="63"/>
        <v>1</v>
      </c>
      <c r="L35" s="45"/>
      <c r="M35" s="45"/>
      <c r="N35" s="45"/>
      <c r="O35" s="45">
        <f t="shared" si="64"/>
        <v>0</v>
      </c>
      <c r="P35" s="45"/>
      <c r="Q35" s="45"/>
      <c r="R35" s="45"/>
      <c r="S35" s="87">
        <f>G35</f>
        <v>4</v>
      </c>
      <c r="T35" s="41">
        <f t="shared" si="66"/>
        <v>0</v>
      </c>
      <c r="U35" s="41">
        <f t="shared" si="67"/>
        <v>0</v>
      </c>
      <c r="V35" s="43">
        <f t="shared" si="68"/>
        <v>4</v>
      </c>
      <c r="W35" s="41">
        <f t="shared" si="22"/>
        <v>0</v>
      </c>
      <c r="X35" s="41">
        <f t="shared" si="23"/>
        <v>0</v>
      </c>
      <c r="Y35" s="41">
        <f t="shared" si="24"/>
        <v>0</v>
      </c>
      <c r="Z35" s="43">
        <f t="shared" si="25"/>
        <v>0</v>
      </c>
      <c r="AA35" s="81">
        <f t="shared" si="26"/>
        <v>0</v>
      </c>
      <c r="AB35" s="81">
        <f t="shared" si="27"/>
        <v>0</v>
      </c>
      <c r="AC35" s="81">
        <f t="shared" si="28"/>
        <v>0</v>
      </c>
      <c r="AD35" s="82">
        <f t="shared" si="69"/>
        <v>0</v>
      </c>
      <c r="AE35" s="81">
        <f t="shared" si="30"/>
        <v>4</v>
      </c>
      <c r="AF35" s="81">
        <f t="shared" si="31"/>
        <v>0</v>
      </c>
      <c r="AG35" s="81">
        <f t="shared" si="32"/>
        <v>0</v>
      </c>
      <c r="AH35" s="82">
        <f t="shared" si="70"/>
        <v>4</v>
      </c>
      <c r="AI35" s="41">
        <v>19957</v>
      </c>
      <c r="AJ35" s="41">
        <v>33979</v>
      </c>
      <c r="AK35" s="41">
        <v>36287</v>
      </c>
      <c r="AL35" s="43">
        <f t="shared" si="34"/>
        <v>90223</v>
      </c>
      <c r="AM35" s="81">
        <f t="shared" si="35"/>
        <v>0</v>
      </c>
      <c r="AN35" s="81">
        <f t="shared" si="36"/>
        <v>0</v>
      </c>
      <c r="AO35" s="81">
        <f t="shared" si="37"/>
        <v>0</v>
      </c>
      <c r="AP35" s="82">
        <f t="shared" si="38"/>
        <v>0</v>
      </c>
      <c r="AQ35" s="41">
        <v>1265</v>
      </c>
      <c r="AR35" s="41">
        <v>1441</v>
      </c>
      <c r="AS35" s="41">
        <v>1827</v>
      </c>
      <c r="AT35" s="43">
        <f t="shared" si="39"/>
        <v>4533</v>
      </c>
      <c r="AU35" s="81">
        <f t="shared" si="40"/>
        <v>0</v>
      </c>
      <c r="AV35" s="81">
        <f t="shared" si="41"/>
        <v>0</v>
      </c>
      <c r="AW35" s="81">
        <f t="shared" si="42"/>
        <v>0</v>
      </c>
      <c r="AX35" s="82">
        <f t="shared" si="43"/>
        <v>0</v>
      </c>
      <c r="AY35" s="81">
        <f t="shared" si="44"/>
        <v>0</v>
      </c>
      <c r="AZ35" s="81">
        <f t="shared" si="45"/>
        <v>0</v>
      </c>
      <c r="BA35" s="81">
        <f t="shared" si="46"/>
        <v>0</v>
      </c>
      <c r="BB35" s="82">
        <f t="shared" si="47"/>
        <v>0</v>
      </c>
      <c r="BC35" s="82">
        <v>16898</v>
      </c>
      <c r="BD35" s="82">
        <f t="shared" si="48"/>
        <v>16898</v>
      </c>
      <c r="BE35" s="82" t="str">
        <f t="shared" si="49"/>
        <v/>
      </c>
      <c r="BF35" s="82">
        <f t="shared" si="50"/>
        <v>16898</v>
      </c>
      <c r="BG35" s="82">
        <f t="shared" si="51"/>
        <v>16898</v>
      </c>
      <c r="BH35" s="82" t="str">
        <f t="shared" si="52"/>
        <v/>
      </c>
      <c r="BI35" s="90">
        <f t="shared" si="53"/>
        <v>4</v>
      </c>
      <c r="BJ35" s="90" t="str">
        <f t="shared" si="54"/>
        <v/>
      </c>
      <c r="BK35" s="90" t="str">
        <f t="shared" si="55"/>
        <v/>
      </c>
      <c r="BL35" s="90">
        <f t="shared" si="56"/>
        <v>4</v>
      </c>
    </row>
    <row r="36" spans="1:64" s="59" customFormat="1">
      <c r="A36" s="38">
        <v>30</v>
      </c>
      <c r="B36" s="39" t="s">
        <v>51</v>
      </c>
      <c r="C36" s="40" t="s">
        <v>206</v>
      </c>
      <c r="D36" s="41">
        <v>85</v>
      </c>
      <c r="E36" s="42">
        <v>128</v>
      </c>
      <c r="F36" s="43">
        <v>90</v>
      </c>
      <c r="G36" s="43">
        <f t="shared" si="6"/>
        <v>303</v>
      </c>
      <c r="H36" s="45">
        <v>5</v>
      </c>
      <c r="I36" s="45">
        <v>6</v>
      </c>
      <c r="J36" s="45">
        <v>4</v>
      </c>
      <c r="K36" s="45">
        <f t="shared" si="63"/>
        <v>15</v>
      </c>
      <c r="L36" s="45">
        <v>1</v>
      </c>
      <c r="M36" s="45">
        <v>2</v>
      </c>
      <c r="N36" s="45"/>
      <c r="O36" s="45">
        <f t="shared" si="64"/>
        <v>3</v>
      </c>
      <c r="P36" s="45">
        <v>4</v>
      </c>
      <c r="Q36" s="45">
        <v>100</v>
      </c>
      <c r="R36" s="45"/>
      <c r="S36" s="41">
        <f>H36*25</f>
        <v>125</v>
      </c>
      <c r="T36" s="41">
        <f t="shared" ref="T36:U36" si="73">I36*25</f>
        <v>150</v>
      </c>
      <c r="U36" s="41">
        <f t="shared" si="73"/>
        <v>100</v>
      </c>
      <c r="V36" s="43">
        <f t="shared" si="68"/>
        <v>375</v>
      </c>
      <c r="W36" s="41">
        <f t="shared" si="22"/>
        <v>40</v>
      </c>
      <c r="X36" s="41">
        <f t="shared" si="23"/>
        <v>22</v>
      </c>
      <c r="Y36" s="41">
        <f t="shared" si="24"/>
        <v>10</v>
      </c>
      <c r="Z36" s="43">
        <f t="shared" si="25"/>
        <v>72</v>
      </c>
      <c r="AA36" s="81">
        <f t="shared" si="26"/>
        <v>30</v>
      </c>
      <c r="AB36" s="85">
        <f t="shared" ref="AB36" si="74">IF(X36&gt;0,X36*0.75,-X36*0.2)*0.85</f>
        <v>14.025</v>
      </c>
      <c r="AC36" s="85">
        <f t="shared" ref="AC36" si="75">IF(Y36&gt;0,Y36*0.75,-Y36*0.2)*0.85</f>
        <v>6.375</v>
      </c>
      <c r="AD36" s="82">
        <f t="shared" si="69"/>
        <v>50.4</v>
      </c>
      <c r="AE36" s="81">
        <f t="shared" si="30"/>
        <v>115</v>
      </c>
      <c r="AF36" s="81">
        <f t="shared" si="31"/>
        <v>142.02500000000001</v>
      </c>
      <c r="AG36" s="81">
        <f t="shared" si="32"/>
        <v>96.375</v>
      </c>
      <c r="AH36" s="82">
        <f t="shared" si="70"/>
        <v>353.4</v>
      </c>
      <c r="AI36" s="41">
        <v>13194</v>
      </c>
      <c r="AJ36" s="86">
        <v>32636</v>
      </c>
      <c r="AK36" s="86">
        <v>37665</v>
      </c>
      <c r="AL36" s="43">
        <f t="shared" si="34"/>
        <v>83495</v>
      </c>
      <c r="AM36" s="81">
        <f t="shared" si="35"/>
        <v>395820</v>
      </c>
      <c r="AN36" s="81">
        <f t="shared" si="36"/>
        <v>457719.9</v>
      </c>
      <c r="AO36" s="81">
        <f t="shared" si="37"/>
        <v>240114.375</v>
      </c>
      <c r="AP36" s="82">
        <f t="shared" si="38"/>
        <v>1093654.2749999999</v>
      </c>
      <c r="AQ36" s="41">
        <v>842</v>
      </c>
      <c r="AR36" s="41">
        <v>916</v>
      </c>
      <c r="AS36" s="41">
        <v>1118</v>
      </c>
      <c r="AT36" s="43">
        <f t="shared" si="39"/>
        <v>2876</v>
      </c>
      <c r="AU36" s="81">
        <f t="shared" si="40"/>
        <v>25260</v>
      </c>
      <c r="AV36" s="81">
        <f t="shared" si="41"/>
        <v>12846.9</v>
      </c>
      <c r="AW36" s="81">
        <f t="shared" si="42"/>
        <v>7127.25</v>
      </c>
      <c r="AX36" s="82">
        <f t="shared" si="43"/>
        <v>45234.15</v>
      </c>
      <c r="AY36" s="81">
        <f t="shared" si="44"/>
        <v>421080</v>
      </c>
      <c r="AZ36" s="81">
        <f t="shared" si="45"/>
        <v>470566.80000000005</v>
      </c>
      <c r="BA36" s="81">
        <f t="shared" si="46"/>
        <v>247241.625</v>
      </c>
      <c r="BB36" s="82">
        <f t="shared" si="47"/>
        <v>1138888.425</v>
      </c>
      <c r="BC36" s="82">
        <v>-122654</v>
      </c>
      <c r="BD36" s="82" t="str">
        <f t="shared" si="48"/>
        <v/>
      </c>
      <c r="BE36" s="82">
        <f t="shared" si="49"/>
        <v>-122654</v>
      </c>
      <c r="BF36" s="82">
        <f t="shared" si="50"/>
        <v>-1261542.425</v>
      </c>
      <c r="BG36" s="82" t="str">
        <f t="shared" si="51"/>
        <v/>
      </c>
      <c r="BH36" s="82">
        <f t="shared" si="52"/>
        <v>-1261542.425</v>
      </c>
      <c r="BI36" s="90">
        <f t="shared" si="53"/>
        <v>17</v>
      </c>
      <c r="BJ36" s="90">
        <f t="shared" si="54"/>
        <v>21.333333333333332</v>
      </c>
      <c r="BK36" s="90">
        <f t="shared" si="55"/>
        <v>22.5</v>
      </c>
      <c r="BL36" s="90">
        <f t="shared" si="56"/>
        <v>20.2</v>
      </c>
    </row>
    <row r="37" spans="1:64" s="59" customFormat="1">
      <c r="A37" s="38">
        <v>31</v>
      </c>
      <c r="B37" s="39" t="s">
        <v>52</v>
      </c>
      <c r="C37" s="40" t="s">
        <v>207</v>
      </c>
      <c r="D37" s="41">
        <v>312</v>
      </c>
      <c r="E37" s="42">
        <v>345</v>
      </c>
      <c r="F37" s="43">
        <v>90</v>
      </c>
      <c r="G37" s="43">
        <f t="shared" si="6"/>
        <v>747</v>
      </c>
      <c r="H37" s="45">
        <v>12</v>
      </c>
      <c r="I37" s="45">
        <v>15</v>
      </c>
      <c r="J37" s="45">
        <v>4</v>
      </c>
      <c r="K37" s="45">
        <f t="shared" si="63"/>
        <v>31</v>
      </c>
      <c r="L37" s="45"/>
      <c r="M37" s="45">
        <v>3</v>
      </c>
      <c r="N37" s="45"/>
      <c r="O37" s="45">
        <f t="shared" si="64"/>
        <v>3</v>
      </c>
      <c r="P37" s="45">
        <v>9</v>
      </c>
      <c r="Q37" s="45">
        <v>225</v>
      </c>
      <c r="R37" s="45"/>
      <c r="S37" s="41">
        <f t="shared" ref="S37:S39" si="76">H37*25</f>
        <v>300</v>
      </c>
      <c r="T37" s="41">
        <f t="shared" ref="T37:T39" si="77">I37*25</f>
        <v>375</v>
      </c>
      <c r="U37" s="41">
        <f t="shared" ref="U37:U39" si="78">J37*25</f>
        <v>100</v>
      </c>
      <c r="V37" s="43">
        <f t="shared" si="68"/>
        <v>775</v>
      </c>
      <c r="W37" s="41">
        <f t="shared" si="22"/>
        <v>-12</v>
      </c>
      <c r="X37" s="41">
        <f t="shared" si="23"/>
        <v>30</v>
      </c>
      <c r="Y37" s="41">
        <f t="shared" si="24"/>
        <v>10</v>
      </c>
      <c r="Z37" s="43">
        <f t="shared" si="25"/>
        <v>28</v>
      </c>
      <c r="AA37" s="81">
        <f t="shared" si="26"/>
        <v>2.4000000000000004</v>
      </c>
      <c r="AB37" s="81">
        <f t="shared" si="27"/>
        <v>22.5</v>
      </c>
      <c r="AC37" s="81">
        <f t="shared" si="28"/>
        <v>7.5</v>
      </c>
      <c r="AD37" s="82">
        <f t="shared" si="69"/>
        <v>32.4</v>
      </c>
      <c r="AE37" s="81">
        <f t="shared" si="30"/>
        <v>314.39999999999998</v>
      </c>
      <c r="AF37" s="81">
        <f t="shared" si="31"/>
        <v>367.5</v>
      </c>
      <c r="AG37" s="81">
        <f t="shared" si="32"/>
        <v>97.5</v>
      </c>
      <c r="AH37" s="82">
        <f t="shared" si="70"/>
        <v>779.4</v>
      </c>
      <c r="AI37" s="41">
        <v>13194</v>
      </c>
      <c r="AJ37" s="86">
        <v>30929</v>
      </c>
      <c r="AK37" s="86">
        <v>34635</v>
      </c>
      <c r="AL37" s="43">
        <f t="shared" si="34"/>
        <v>78758</v>
      </c>
      <c r="AM37" s="81">
        <f t="shared" si="35"/>
        <v>31665.600000000006</v>
      </c>
      <c r="AN37" s="81">
        <f t="shared" si="36"/>
        <v>695902.5</v>
      </c>
      <c r="AO37" s="81">
        <f t="shared" si="37"/>
        <v>259762.5</v>
      </c>
      <c r="AP37" s="82">
        <f t="shared" si="38"/>
        <v>987330.6</v>
      </c>
      <c r="AQ37" s="41">
        <v>842</v>
      </c>
      <c r="AR37" s="41">
        <v>916</v>
      </c>
      <c r="AS37" s="41">
        <v>1118</v>
      </c>
      <c r="AT37" s="43">
        <f t="shared" si="39"/>
        <v>2876</v>
      </c>
      <c r="AU37" s="81">
        <f t="shared" si="40"/>
        <v>2020.8000000000004</v>
      </c>
      <c r="AV37" s="81">
        <f t="shared" si="41"/>
        <v>20610</v>
      </c>
      <c r="AW37" s="81">
        <f t="shared" si="42"/>
        <v>8385</v>
      </c>
      <c r="AX37" s="82">
        <f t="shared" si="43"/>
        <v>31015.8</v>
      </c>
      <c r="AY37" s="81">
        <f t="shared" si="44"/>
        <v>33686.400000000009</v>
      </c>
      <c r="AZ37" s="81">
        <f t="shared" si="45"/>
        <v>716512.5</v>
      </c>
      <c r="BA37" s="81">
        <f t="shared" si="46"/>
        <v>268147.5</v>
      </c>
      <c r="BB37" s="82">
        <f t="shared" si="47"/>
        <v>1018346.4</v>
      </c>
      <c r="BC37" s="82">
        <v>677980</v>
      </c>
      <c r="BD37" s="82">
        <f t="shared" si="48"/>
        <v>677980</v>
      </c>
      <c r="BE37" s="82" t="str">
        <f t="shared" si="49"/>
        <v/>
      </c>
      <c r="BF37" s="82">
        <f t="shared" si="50"/>
        <v>-340366.4</v>
      </c>
      <c r="BG37" s="82" t="str">
        <f t="shared" si="51"/>
        <v/>
      </c>
      <c r="BH37" s="82">
        <f t="shared" si="52"/>
        <v>-340366.4</v>
      </c>
      <c r="BI37" s="90">
        <f t="shared" si="53"/>
        <v>26</v>
      </c>
      <c r="BJ37" s="90">
        <f t="shared" si="54"/>
        <v>23</v>
      </c>
      <c r="BK37" s="90">
        <f t="shared" si="55"/>
        <v>22.5</v>
      </c>
      <c r="BL37" s="90">
        <f t="shared" si="56"/>
        <v>24.096774193548388</v>
      </c>
    </row>
    <row r="38" spans="1:64" s="59" customFormat="1">
      <c r="A38" s="38">
        <v>32</v>
      </c>
      <c r="B38" s="39" t="s">
        <v>53</v>
      </c>
      <c r="C38" s="40" t="s">
        <v>208</v>
      </c>
      <c r="D38" s="41">
        <v>188</v>
      </c>
      <c r="E38" s="42">
        <v>256</v>
      </c>
      <c r="F38" s="43">
        <v>83</v>
      </c>
      <c r="G38" s="43">
        <f t="shared" si="6"/>
        <v>527</v>
      </c>
      <c r="H38" s="45">
        <v>9</v>
      </c>
      <c r="I38" s="45">
        <v>10</v>
      </c>
      <c r="J38" s="45">
        <v>4</v>
      </c>
      <c r="K38" s="45">
        <f t="shared" si="63"/>
        <v>23</v>
      </c>
      <c r="L38" s="45">
        <v>1</v>
      </c>
      <c r="M38" s="45"/>
      <c r="N38" s="45"/>
      <c r="O38" s="45">
        <f t="shared" si="64"/>
        <v>1</v>
      </c>
      <c r="P38" s="45">
        <v>4</v>
      </c>
      <c r="Q38" s="46">
        <v>100</v>
      </c>
      <c r="R38" s="45"/>
      <c r="S38" s="41">
        <f t="shared" si="76"/>
        <v>225</v>
      </c>
      <c r="T38" s="41">
        <f t="shared" si="77"/>
        <v>250</v>
      </c>
      <c r="U38" s="41">
        <f t="shared" si="78"/>
        <v>100</v>
      </c>
      <c r="V38" s="43">
        <f t="shared" si="68"/>
        <v>575</v>
      </c>
      <c r="W38" s="41">
        <f t="shared" si="22"/>
        <v>37</v>
      </c>
      <c r="X38" s="41">
        <f t="shared" si="23"/>
        <v>-6</v>
      </c>
      <c r="Y38" s="41">
        <f t="shared" si="24"/>
        <v>17</v>
      </c>
      <c r="Z38" s="43">
        <f t="shared" si="25"/>
        <v>48</v>
      </c>
      <c r="AA38" s="81">
        <f t="shared" si="26"/>
        <v>27.75</v>
      </c>
      <c r="AB38" s="81">
        <f t="shared" si="27"/>
        <v>1.2000000000000002</v>
      </c>
      <c r="AC38" s="81">
        <f t="shared" si="28"/>
        <v>12.75</v>
      </c>
      <c r="AD38" s="82">
        <f t="shared" si="69"/>
        <v>41.7</v>
      </c>
      <c r="AE38" s="81">
        <f t="shared" si="30"/>
        <v>215.75</v>
      </c>
      <c r="AF38" s="81">
        <f t="shared" si="31"/>
        <v>257.2</v>
      </c>
      <c r="AG38" s="81">
        <f t="shared" si="32"/>
        <v>95.75</v>
      </c>
      <c r="AH38" s="82">
        <f t="shared" si="70"/>
        <v>568.70000000000005</v>
      </c>
      <c r="AI38" s="41">
        <v>13194</v>
      </c>
      <c r="AJ38" s="41">
        <v>21930</v>
      </c>
      <c r="AK38" s="41">
        <v>25151</v>
      </c>
      <c r="AL38" s="43">
        <f t="shared" si="34"/>
        <v>60275</v>
      </c>
      <c r="AM38" s="81">
        <f t="shared" si="35"/>
        <v>366133.5</v>
      </c>
      <c r="AN38" s="81">
        <f t="shared" si="36"/>
        <v>26316.000000000004</v>
      </c>
      <c r="AO38" s="81">
        <f t="shared" si="37"/>
        <v>320675.25</v>
      </c>
      <c r="AP38" s="82">
        <f t="shared" si="38"/>
        <v>713124.75</v>
      </c>
      <c r="AQ38" s="41">
        <v>842</v>
      </c>
      <c r="AR38" s="41">
        <v>916</v>
      </c>
      <c r="AS38" s="41">
        <v>1118</v>
      </c>
      <c r="AT38" s="43">
        <f t="shared" si="39"/>
        <v>2876</v>
      </c>
      <c r="AU38" s="81">
        <f t="shared" si="40"/>
        <v>23365.5</v>
      </c>
      <c r="AV38" s="81">
        <f t="shared" si="41"/>
        <v>1099.2000000000003</v>
      </c>
      <c r="AW38" s="81">
        <f t="shared" si="42"/>
        <v>14254.5</v>
      </c>
      <c r="AX38" s="82">
        <f t="shared" si="43"/>
        <v>38719.199999999997</v>
      </c>
      <c r="AY38" s="81">
        <f t="shared" si="44"/>
        <v>389499</v>
      </c>
      <c r="AZ38" s="81">
        <f t="shared" si="45"/>
        <v>27415.200000000004</v>
      </c>
      <c r="BA38" s="81">
        <f t="shared" si="46"/>
        <v>334929.75</v>
      </c>
      <c r="BB38" s="82">
        <f t="shared" si="47"/>
        <v>751843.95</v>
      </c>
      <c r="BC38" s="82">
        <v>1285825</v>
      </c>
      <c r="BD38" s="82">
        <f t="shared" si="48"/>
        <v>1285825</v>
      </c>
      <c r="BE38" s="82" t="str">
        <f t="shared" si="49"/>
        <v/>
      </c>
      <c r="BF38" s="82">
        <f t="shared" si="50"/>
        <v>533981.05000000005</v>
      </c>
      <c r="BG38" s="82">
        <f t="shared" si="51"/>
        <v>533981.05000000005</v>
      </c>
      <c r="BH38" s="82" t="str">
        <f t="shared" si="52"/>
        <v/>
      </c>
      <c r="BI38" s="90">
        <f t="shared" si="53"/>
        <v>20.888888888888889</v>
      </c>
      <c r="BJ38" s="90">
        <f t="shared" si="54"/>
        <v>25.6</v>
      </c>
      <c r="BK38" s="90">
        <f t="shared" si="55"/>
        <v>20.75</v>
      </c>
      <c r="BL38" s="90">
        <f t="shared" si="56"/>
        <v>22.913043478260871</v>
      </c>
    </row>
    <row r="39" spans="1:64" s="59" customFormat="1">
      <c r="A39" s="38">
        <v>33</v>
      </c>
      <c r="B39" s="39" t="s">
        <v>54</v>
      </c>
      <c r="C39" s="40" t="s">
        <v>209</v>
      </c>
      <c r="D39" s="41">
        <v>229</v>
      </c>
      <c r="E39" s="42">
        <v>318</v>
      </c>
      <c r="F39" s="43">
        <v>100</v>
      </c>
      <c r="G39" s="43">
        <f t="shared" ref="G39:G70" si="79">D39+E39+F39</f>
        <v>647</v>
      </c>
      <c r="H39" s="45">
        <v>10</v>
      </c>
      <c r="I39" s="45">
        <v>14</v>
      </c>
      <c r="J39" s="45">
        <v>4</v>
      </c>
      <c r="K39" s="45">
        <f t="shared" si="63"/>
        <v>28</v>
      </c>
      <c r="L39" s="45">
        <v>3</v>
      </c>
      <c r="M39" s="45">
        <v>2</v>
      </c>
      <c r="N39" s="45">
        <v>1</v>
      </c>
      <c r="O39" s="45">
        <f t="shared" si="64"/>
        <v>6</v>
      </c>
      <c r="P39" s="45">
        <v>6</v>
      </c>
      <c r="Q39" s="45">
        <v>150</v>
      </c>
      <c r="R39" s="45"/>
      <c r="S39" s="41">
        <f t="shared" si="76"/>
        <v>250</v>
      </c>
      <c r="T39" s="41">
        <f t="shared" si="77"/>
        <v>350</v>
      </c>
      <c r="U39" s="41">
        <f t="shared" si="78"/>
        <v>100</v>
      </c>
      <c r="V39" s="43">
        <f t="shared" si="68"/>
        <v>700</v>
      </c>
      <c r="W39" s="41">
        <f t="shared" si="22"/>
        <v>21</v>
      </c>
      <c r="X39" s="41">
        <f t="shared" si="23"/>
        <v>32</v>
      </c>
      <c r="Y39" s="41">
        <f t="shared" si="24"/>
        <v>0</v>
      </c>
      <c r="Z39" s="43">
        <f t="shared" si="25"/>
        <v>53</v>
      </c>
      <c r="AA39" s="81">
        <f t="shared" si="26"/>
        <v>15.75</v>
      </c>
      <c r="AB39" s="81">
        <f t="shared" si="27"/>
        <v>24</v>
      </c>
      <c r="AC39" s="81">
        <f t="shared" si="28"/>
        <v>0</v>
      </c>
      <c r="AD39" s="82">
        <f t="shared" si="69"/>
        <v>39.75</v>
      </c>
      <c r="AE39" s="81">
        <f t="shared" si="30"/>
        <v>244.75</v>
      </c>
      <c r="AF39" s="81">
        <f t="shared" si="31"/>
        <v>342</v>
      </c>
      <c r="AG39" s="81">
        <f t="shared" si="32"/>
        <v>100</v>
      </c>
      <c r="AH39" s="82">
        <f t="shared" si="70"/>
        <v>686.75</v>
      </c>
      <c r="AI39" s="41">
        <v>13194</v>
      </c>
      <c r="AJ39" s="41">
        <v>21930</v>
      </c>
      <c r="AK39" s="41">
        <v>25151</v>
      </c>
      <c r="AL39" s="43">
        <f t="shared" si="34"/>
        <v>60275</v>
      </c>
      <c r="AM39" s="81">
        <f t="shared" si="35"/>
        <v>207805.5</v>
      </c>
      <c r="AN39" s="81">
        <f t="shared" si="36"/>
        <v>526320</v>
      </c>
      <c r="AO39" s="81">
        <f t="shared" si="37"/>
        <v>0</v>
      </c>
      <c r="AP39" s="82">
        <f t="shared" si="38"/>
        <v>734125.5</v>
      </c>
      <c r="AQ39" s="41">
        <v>842</v>
      </c>
      <c r="AR39" s="41">
        <v>916</v>
      </c>
      <c r="AS39" s="41">
        <v>1118</v>
      </c>
      <c r="AT39" s="43">
        <f t="shared" si="39"/>
        <v>2876</v>
      </c>
      <c r="AU39" s="81">
        <f t="shared" si="40"/>
        <v>13261.5</v>
      </c>
      <c r="AV39" s="81">
        <f t="shared" si="41"/>
        <v>21984</v>
      </c>
      <c r="AW39" s="81">
        <f t="shared" si="42"/>
        <v>0</v>
      </c>
      <c r="AX39" s="82">
        <f t="shared" si="43"/>
        <v>35245.5</v>
      </c>
      <c r="AY39" s="81">
        <f t="shared" si="44"/>
        <v>221067</v>
      </c>
      <c r="AZ39" s="81">
        <f t="shared" si="45"/>
        <v>548304</v>
      </c>
      <c r="BA39" s="81">
        <f t="shared" si="46"/>
        <v>0</v>
      </c>
      <c r="BB39" s="82">
        <f t="shared" si="47"/>
        <v>769371</v>
      </c>
      <c r="BC39" s="82">
        <v>1869411</v>
      </c>
      <c r="BD39" s="82">
        <f t="shared" si="48"/>
        <v>1869411</v>
      </c>
      <c r="BE39" s="82" t="str">
        <f t="shared" si="49"/>
        <v/>
      </c>
      <c r="BF39" s="82">
        <f t="shared" si="50"/>
        <v>1100040</v>
      </c>
      <c r="BG39" s="82">
        <f t="shared" si="51"/>
        <v>1100040</v>
      </c>
      <c r="BH39" s="82" t="str">
        <f t="shared" si="52"/>
        <v/>
      </c>
      <c r="BI39" s="90">
        <f t="shared" si="53"/>
        <v>22.9</v>
      </c>
      <c r="BJ39" s="90">
        <f t="shared" si="54"/>
        <v>22.714285714285715</v>
      </c>
      <c r="BK39" s="90">
        <f t="shared" si="55"/>
        <v>25</v>
      </c>
      <c r="BL39" s="90">
        <f t="shared" si="56"/>
        <v>23.107142857142858</v>
      </c>
    </row>
    <row r="40" spans="1:64" s="59" customFormat="1">
      <c r="A40" s="38">
        <v>34</v>
      </c>
      <c r="B40" s="39" t="s">
        <v>24</v>
      </c>
      <c r="C40" s="40" t="s">
        <v>210</v>
      </c>
      <c r="D40" s="41">
        <v>10</v>
      </c>
      <c r="E40" s="42"/>
      <c r="F40" s="43"/>
      <c r="G40" s="43">
        <f t="shared" si="79"/>
        <v>10</v>
      </c>
      <c r="H40" s="45">
        <v>3</v>
      </c>
      <c r="I40" s="45"/>
      <c r="J40" s="45"/>
      <c r="K40" s="45">
        <f t="shared" si="63"/>
        <v>3</v>
      </c>
      <c r="L40" s="45"/>
      <c r="M40" s="45"/>
      <c r="N40" s="45"/>
      <c r="O40" s="45">
        <f t="shared" si="64"/>
        <v>0</v>
      </c>
      <c r="P40" s="45"/>
      <c r="Q40" s="45"/>
      <c r="R40" s="45"/>
      <c r="S40" s="87">
        <f>G40</f>
        <v>10</v>
      </c>
      <c r="T40" s="41">
        <f t="shared" si="66"/>
        <v>0</v>
      </c>
      <c r="U40" s="41">
        <f t="shared" si="67"/>
        <v>0</v>
      </c>
      <c r="V40" s="43">
        <f t="shared" si="68"/>
        <v>10</v>
      </c>
      <c r="W40" s="41">
        <f t="shared" si="22"/>
        <v>0</v>
      </c>
      <c r="X40" s="41">
        <f t="shared" si="23"/>
        <v>0</v>
      </c>
      <c r="Y40" s="41">
        <f t="shared" si="24"/>
        <v>0</v>
      </c>
      <c r="Z40" s="43">
        <f t="shared" si="25"/>
        <v>0</v>
      </c>
      <c r="AA40" s="81">
        <f t="shared" si="26"/>
        <v>0</v>
      </c>
      <c r="AB40" s="81">
        <f t="shared" si="27"/>
        <v>0</v>
      </c>
      <c r="AC40" s="81">
        <f t="shared" si="28"/>
        <v>0</v>
      </c>
      <c r="AD40" s="82">
        <f t="shared" si="69"/>
        <v>0</v>
      </c>
      <c r="AE40" s="81">
        <f t="shared" si="30"/>
        <v>10</v>
      </c>
      <c r="AF40" s="81">
        <f t="shared" si="31"/>
        <v>0</v>
      </c>
      <c r="AG40" s="81">
        <f t="shared" si="32"/>
        <v>0</v>
      </c>
      <c r="AH40" s="82">
        <f t="shared" si="70"/>
        <v>10</v>
      </c>
      <c r="AI40" s="41">
        <v>19957</v>
      </c>
      <c r="AJ40" s="41">
        <v>33979</v>
      </c>
      <c r="AK40" s="41">
        <v>36287</v>
      </c>
      <c r="AL40" s="43">
        <f t="shared" si="34"/>
        <v>90223</v>
      </c>
      <c r="AM40" s="81">
        <f t="shared" si="35"/>
        <v>0</v>
      </c>
      <c r="AN40" s="81">
        <f t="shared" si="36"/>
        <v>0</v>
      </c>
      <c r="AO40" s="81">
        <f t="shared" si="37"/>
        <v>0</v>
      </c>
      <c r="AP40" s="82">
        <f t="shared" si="38"/>
        <v>0</v>
      </c>
      <c r="AQ40" s="41">
        <v>1265</v>
      </c>
      <c r="AR40" s="41">
        <v>1441</v>
      </c>
      <c r="AS40" s="41">
        <v>1827</v>
      </c>
      <c r="AT40" s="43">
        <f t="shared" si="39"/>
        <v>4533</v>
      </c>
      <c r="AU40" s="81">
        <f t="shared" si="40"/>
        <v>0</v>
      </c>
      <c r="AV40" s="81">
        <f t="shared" si="41"/>
        <v>0</v>
      </c>
      <c r="AW40" s="81">
        <f t="shared" si="42"/>
        <v>0</v>
      </c>
      <c r="AX40" s="82">
        <f t="shared" si="43"/>
        <v>0</v>
      </c>
      <c r="AY40" s="81">
        <f t="shared" si="44"/>
        <v>0</v>
      </c>
      <c r="AZ40" s="81">
        <f t="shared" si="45"/>
        <v>0</v>
      </c>
      <c r="BA40" s="81">
        <f t="shared" si="46"/>
        <v>0</v>
      </c>
      <c r="BB40" s="82">
        <f t="shared" si="47"/>
        <v>0</v>
      </c>
      <c r="BC40" s="82">
        <v>30647</v>
      </c>
      <c r="BD40" s="82">
        <f t="shared" si="48"/>
        <v>30647</v>
      </c>
      <c r="BE40" s="82" t="str">
        <f t="shared" si="49"/>
        <v/>
      </c>
      <c r="BF40" s="82">
        <f t="shared" si="50"/>
        <v>30647</v>
      </c>
      <c r="BG40" s="82">
        <f t="shared" si="51"/>
        <v>30647</v>
      </c>
      <c r="BH40" s="82" t="str">
        <f t="shared" si="52"/>
        <v/>
      </c>
      <c r="BI40" s="90">
        <f t="shared" si="53"/>
        <v>3.3333333333333335</v>
      </c>
      <c r="BJ40" s="90" t="str">
        <f t="shared" si="54"/>
        <v/>
      </c>
      <c r="BK40" s="90" t="str">
        <f t="shared" si="55"/>
        <v/>
      </c>
      <c r="BL40" s="90">
        <f t="shared" si="56"/>
        <v>3.3333333333333335</v>
      </c>
    </row>
    <row r="41" spans="1:64" s="59" customFormat="1">
      <c r="A41" s="38">
        <v>35</v>
      </c>
      <c r="B41" s="39" t="s">
        <v>55</v>
      </c>
      <c r="C41" s="40" t="s">
        <v>211</v>
      </c>
      <c r="D41" s="41">
        <v>28</v>
      </c>
      <c r="E41" s="42">
        <v>41</v>
      </c>
      <c r="F41" s="43">
        <v>27</v>
      </c>
      <c r="G41" s="43">
        <f t="shared" si="79"/>
        <v>96</v>
      </c>
      <c r="H41" s="45">
        <v>3</v>
      </c>
      <c r="I41" s="45">
        <v>5</v>
      </c>
      <c r="J41" s="45">
        <v>2</v>
      </c>
      <c r="K41" s="45">
        <f t="shared" si="63"/>
        <v>10</v>
      </c>
      <c r="L41" s="45"/>
      <c r="M41" s="45"/>
      <c r="N41" s="45"/>
      <c r="O41" s="45">
        <f t="shared" si="64"/>
        <v>0</v>
      </c>
      <c r="P41" s="45">
        <v>1</v>
      </c>
      <c r="Q41" s="45">
        <v>28</v>
      </c>
      <c r="R41" s="45"/>
      <c r="S41" s="41">
        <f t="shared" si="71"/>
        <v>42</v>
      </c>
      <c r="T41" s="41">
        <f t="shared" si="66"/>
        <v>70</v>
      </c>
      <c r="U41" s="41">
        <f t="shared" si="67"/>
        <v>28</v>
      </c>
      <c r="V41" s="43">
        <f t="shared" si="68"/>
        <v>140</v>
      </c>
      <c r="W41" s="41">
        <f t="shared" si="22"/>
        <v>14</v>
      </c>
      <c r="X41" s="41">
        <f t="shared" si="23"/>
        <v>29</v>
      </c>
      <c r="Y41" s="41">
        <f t="shared" si="24"/>
        <v>1</v>
      </c>
      <c r="Z41" s="43">
        <f t="shared" si="25"/>
        <v>44</v>
      </c>
      <c r="AA41" s="81">
        <f t="shared" si="26"/>
        <v>10.5</v>
      </c>
      <c r="AB41" s="81">
        <f t="shared" si="27"/>
        <v>21.75</v>
      </c>
      <c r="AC41" s="81">
        <f t="shared" si="28"/>
        <v>0.75</v>
      </c>
      <c r="AD41" s="82">
        <f t="shared" si="69"/>
        <v>33</v>
      </c>
      <c r="AE41" s="81">
        <f t="shared" si="30"/>
        <v>38.5</v>
      </c>
      <c r="AF41" s="81">
        <f t="shared" si="31"/>
        <v>62.75</v>
      </c>
      <c r="AG41" s="81">
        <f t="shared" si="32"/>
        <v>27.75</v>
      </c>
      <c r="AH41" s="82">
        <f t="shared" si="70"/>
        <v>129</v>
      </c>
      <c r="AI41" s="41">
        <v>19957</v>
      </c>
      <c r="AJ41" s="41">
        <v>33979</v>
      </c>
      <c r="AK41" s="41">
        <v>36287</v>
      </c>
      <c r="AL41" s="43">
        <f t="shared" si="34"/>
        <v>90223</v>
      </c>
      <c r="AM41" s="81">
        <f t="shared" si="35"/>
        <v>209548.5</v>
      </c>
      <c r="AN41" s="81">
        <f t="shared" si="36"/>
        <v>739043.25</v>
      </c>
      <c r="AO41" s="81">
        <f t="shared" si="37"/>
        <v>27215.25</v>
      </c>
      <c r="AP41" s="82">
        <f t="shared" si="38"/>
        <v>975807</v>
      </c>
      <c r="AQ41" s="41">
        <v>1265</v>
      </c>
      <c r="AR41" s="41">
        <v>1441</v>
      </c>
      <c r="AS41" s="41">
        <v>1827</v>
      </c>
      <c r="AT41" s="43">
        <f t="shared" si="39"/>
        <v>4533</v>
      </c>
      <c r="AU41" s="81">
        <f t="shared" si="40"/>
        <v>13282.5</v>
      </c>
      <c r="AV41" s="81">
        <f t="shared" si="41"/>
        <v>31341.75</v>
      </c>
      <c r="AW41" s="81">
        <f t="shared" si="42"/>
        <v>1370.25</v>
      </c>
      <c r="AX41" s="82">
        <f t="shared" si="43"/>
        <v>45994.5</v>
      </c>
      <c r="AY41" s="81">
        <f t="shared" si="44"/>
        <v>222831</v>
      </c>
      <c r="AZ41" s="81">
        <f t="shared" si="45"/>
        <v>770385</v>
      </c>
      <c r="BA41" s="81">
        <f t="shared" si="46"/>
        <v>28585.5</v>
      </c>
      <c r="BB41" s="82">
        <f t="shared" si="47"/>
        <v>1021801.5</v>
      </c>
      <c r="BC41" s="82">
        <v>838283</v>
      </c>
      <c r="BD41" s="82">
        <f t="shared" si="48"/>
        <v>838283</v>
      </c>
      <c r="BE41" s="82" t="str">
        <f t="shared" si="49"/>
        <v/>
      </c>
      <c r="BF41" s="82">
        <f t="shared" si="50"/>
        <v>-183518.5</v>
      </c>
      <c r="BG41" s="82" t="str">
        <f t="shared" si="51"/>
        <v/>
      </c>
      <c r="BH41" s="82">
        <f t="shared" si="52"/>
        <v>-183518.5</v>
      </c>
      <c r="BI41" s="90">
        <f t="shared" si="53"/>
        <v>9.3333333333333339</v>
      </c>
      <c r="BJ41" s="90">
        <f t="shared" si="54"/>
        <v>8.1999999999999993</v>
      </c>
      <c r="BK41" s="90">
        <f t="shared" si="55"/>
        <v>13.5</v>
      </c>
      <c r="BL41" s="90">
        <f t="shared" si="56"/>
        <v>9.6</v>
      </c>
    </row>
    <row r="42" spans="1:64" s="55" customFormat="1">
      <c r="A42" s="38">
        <v>36</v>
      </c>
      <c r="B42" s="39" t="s">
        <v>56</v>
      </c>
      <c r="C42" s="40" t="s">
        <v>212</v>
      </c>
      <c r="D42" s="47">
        <v>48</v>
      </c>
      <c r="E42" s="48">
        <v>66</v>
      </c>
      <c r="F42" s="49">
        <v>12</v>
      </c>
      <c r="G42" s="49">
        <f t="shared" si="79"/>
        <v>126</v>
      </c>
      <c r="H42" s="51">
        <v>4</v>
      </c>
      <c r="I42" s="51">
        <v>5</v>
      </c>
      <c r="J42" s="51">
        <v>2</v>
      </c>
      <c r="K42" s="51">
        <f t="shared" si="63"/>
        <v>11</v>
      </c>
      <c r="L42" s="51"/>
      <c r="M42" s="51">
        <v>1</v>
      </c>
      <c r="N42" s="51"/>
      <c r="O42" s="51">
        <f t="shared" si="64"/>
        <v>1</v>
      </c>
      <c r="P42" s="51">
        <v>1</v>
      </c>
      <c r="Q42" s="51">
        <v>25</v>
      </c>
      <c r="R42" s="51"/>
      <c r="S42" s="41">
        <f t="shared" si="71"/>
        <v>56</v>
      </c>
      <c r="T42" s="41">
        <f t="shared" si="66"/>
        <v>70</v>
      </c>
      <c r="U42" s="41">
        <f t="shared" si="67"/>
        <v>28</v>
      </c>
      <c r="V42" s="49">
        <f t="shared" si="68"/>
        <v>154</v>
      </c>
      <c r="W42" s="41">
        <f t="shared" si="22"/>
        <v>8</v>
      </c>
      <c r="X42" s="41">
        <f t="shared" si="23"/>
        <v>4</v>
      </c>
      <c r="Y42" s="41">
        <f t="shared" si="24"/>
        <v>16</v>
      </c>
      <c r="Z42" s="43">
        <f t="shared" si="25"/>
        <v>28</v>
      </c>
      <c r="AA42" s="81">
        <f t="shared" si="26"/>
        <v>6</v>
      </c>
      <c r="AB42" s="81">
        <f t="shared" si="27"/>
        <v>3</v>
      </c>
      <c r="AC42" s="81">
        <f t="shared" si="28"/>
        <v>12</v>
      </c>
      <c r="AD42" s="83">
        <f t="shared" si="69"/>
        <v>21</v>
      </c>
      <c r="AE42" s="81">
        <f t="shared" si="30"/>
        <v>54</v>
      </c>
      <c r="AF42" s="81">
        <f t="shared" si="31"/>
        <v>69</v>
      </c>
      <c r="AG42" s="81">
        <f t="shared" si="32"/>
        <v>24</v>
      </c>
      <c r="AH42" s="83">
        <f t="shared" si="70"/>
        <v>147</v>
      </c>
      <c r="AI42" s="41">
        <v>19957</v>
      </c>
      <c r="AJ42" s="41">
        <v>33979</v>
      </c>
      <c r="AK42" s="41">
        <v>36287</v>
      </c>
      <c r="AL42" s="43">
        <f t="shared" si="34"/>
        <v>90223</v>
      </c>
      <c r="AM42" s="81">
        <f t="shared" si="35"/>
        <v>119742</v>
      </c>
      <c r="AN42" s="81">
        <f t="shared" si="36"/>
        <v>101937</v>
      </c>
      <c r="AO42" s="81">
        <f t="shared" si="37"/>
        <v>435444</v>
      </c>
      <c r="AP42" s="82">
        <f t="shared" si="38"/>
        <v>657123</v>
      </c>
      <c r="AQ42" s="41">
        <v>1265</v>
      </c>
      <c r="AR42" s="41">
        <v>1441</v>
      </c>
      <c r="AS42" s="41">
        <v>1827</v>
      </c>
      <c r="AT42" s="43">
        <f t="shared" si="39"/>
        <v>4533</v>
      </c>
      <c r="AU42" s="81">
        <f t="shared" si="40"/>
        <v>7590</v>
      </c>
      <c r="AV42" s="81">
        <f t="shared" si="41"/>
        <v>4323</v>
      </c>
      <c r="AW42" s="81">
        <f t="shared" si="42"/>
        <v>21924</v>
      </c>
      <c r="AX42" s="82">
        <f t="shared" si="43"/>
        <v>33837</v>
      </c>
      <c r="AY42" s="81">
        <f t="shared" si="44"/>
        <v>127332</v>
      </c>
      <c r="AZ42" s="81">
        <f t="shared" si="45"/>
        <v>106260</v>
      </c>
      <c r="BA42" s="81">
        <f t="shared" si="46"/>
        <v>457368</v>
      </c>
      <c r="BB42" s="82">
        <f t="shared" si="47"/>
        <v>690960</v>
      </c>
      <c r="BC42" s="82">
        <v>350395</v>
      </c>
      <c r="BD42" s="82">
        <f t="shared" si="48"/>
        <v>350395</v>
      </c>
      <c r="BE42" s="82" t="str">
        <f t="shared" si="49"/>
        <v/>
      </c>
      <c r="BF42" s="82">
        <f t="shared" si="50"/>
        <v>-340565</v>
      </c>
      <c r="BG42" s="82" t="str">
        <f t="shared" si="51"/>
        <v/>
      </c>
      <c r="BH42" s="82">
        <f t="shared" si="52"/>
        <v>-340565</v>
      </c>
      <c r="BI42" s="90">
        <f t="shared" si="53"/>
        <v>12</v>
      </c>
      <c r="BJ42" s="90">
        <f t="shared" si="54"/>
        <v>13.2</v>
      </c>
      <c r="BK42" s="90">
        <f t="shared" si="55"/>
        <v>6</v>
      </c>
      <c r="BL42" s="90">
        <f t="shared" si="56"/>
        <v>11.454545454545455</v>
      </c>
    </row>
    <row r="43" spans="1:64" s="59" customFormat="1">
      <c r="A43" s="38">
        <v>37</v>
      </c>
      <c r="B43" s="39" t="s">
        <v>25</v>
      </c>
      <c r="C43" s="40" t="s">
        <v>213</v>
      </c>
      <c r="D43" s="41">
        <v>8</v>
      </c>
      <c r="E43" s="42"/>
      <c r="F43" s="43"/>
      <c r="G43" s="43">
        <f t="shared" si="79"/>
        <v>8</v>
      </c>
      <c r="H43" s="45">
        <v>2</v>
      </c>
      <c r="I43" s="45"/>
      <c r="J43" s="45"/>
      <c r="K43" s="45">
        <f t="shared" si="63"/>
        <v>2</v>
      </c>
      <c r="L43" s="45"/>
      <c r="M43" s="45"/>
      <c r="N43" s="45"/>
      <c r="O43" s="45">
        <f t="shared" si="64"/>
        <v>0</v>
      </c>
      <c r="P43" s="45"/>
      <c r="Q43" s="45"/>
      <c r="R43" s="45"/>
      <c r="S43" s="87">
        <f>G43</f>
        <v>8</v>
      </c>
      <c r="T43" s="41">
        <f t="shared" si="66"/>
        <v>0</v>
      </c>
      <c r="U43" s="41">
        <f t="shared" si="67"/>
        <v>0</v>
      </c>
      <c r="V43" s="43">
        <f t="shared" si="68"/>
        <v>8</v>
      </c>
      <c r="W43" s="41">
        <f t="shared" si="22"/>
        <v>0</v>
      </c>
      <c r="X43" s="41">
        <f t="shared" si="23"/>
        <v>0</v>
      </c>
      <c r="Y43" s="41">
        <f t="shared" si="24"/>
        <v>0</v>
      </c>
      <c r="Z43" s="43">
        <f t="shared" si="25"/>
        <v>0</v>
      </c>
      <c r="AA43" s="81">
        <f t="shared" si="26"/>
        <v>0</v>
      </c>
      <c r="AB43" s="81">
        <f t="shared" si="27"/>
        <v>0</v>
      </c>
      <c r="AC43" s="81">
        <f t="shared" si="28"/>
        <v>0</v>
      </c>
      <c r="AD43" s="82">
        <f t="shared" si="69"/>
        <v>0</v>
      </c>
      <c r="AE43" s="81">
        <f t="shared" si="30"/>
        <v>8</v>
      </c>
      <c r="AF43" s="81">
        <f t="shared" si="31"/>
        <v>0</v>
      </c>
      <c r="AG43" s="81">
        <f t="shared" si="32"/>
        <v>0</v>
      </c>
      <c r="AH43" s="82">
        <f t="shared" si="70"/>
        <v>8</v>
      </c>
      <c r="AI43" s="41">
        <v>19957</v>
      </c>
      <c r="AJ43" s="41">
        <v>33979</v>
      </c>
      <c r="AK43" s="41">
        <v>36287</v>
      </c>
      <c r="AL43" s="43">
        <f t="shared" si="34"/>
        <v>90223</v>
      </c>
      <c r="AM43" s="81">
        <f t="shared" si="35"/>
        <v>0</v>
      </c>
      <c r="AN43" s="81">
        <f t="shared" si="36"/>
        <v>0</v>
      </c>
      <c r="AO43" s="81">
        <f t="shared" si="37"/>
        <v>0</v>
      </c>
      <c r="AP43" s="82">
        <f t="shared" si="38"/>
        <v>0</v>
      </c>
      <c r="AQ43" s="41">
        <v>1265</v>
      </c>
      <c r="AR43" s="41">
        <v>1441</v>
      </c>
      <c r="AS43" s="41">
        <v>1827</v>
      </c>
      <c r="AT43" s="43">
        <f t="shared" si="39"/>
        <v>4533</v>
      </c>
      <c r="AU43" s="81">
        <f t="shared" si="40"/>
        <v>0</v>
      </c>
      <c r="AV43" s="81">
        <f t="shared" si="41"/>
        <v>0</v>
      </c>
      <c r="AW43" s="81">
        <f t="shared" si="42"/>
        <v>0</v>
      </c>
      <c r="AX43" s="82">
        <f t="shared" si="43"/>
        <v>0</v>
      </c>
      <c r="AY43" s="81">
        <f t="shared" si="44"/>
        <v>0</v>
      </c>
      <c r="AZ43" s="81">
        <f t="shared" si="45"/>
        <v>0</v>
      </c>
      <c r="BA43" s="81">
        <f t="shared" si="46"/>
        <v>0</v>
      </c>
      <c r="BB43" s="82">
        <f t="shared" si="47"/>
        <v>0</v>
      </c>
      <c r="BC43" s="82">
        <v>30198</v>
      </c>
      <c r="BD43" s="82">
        <f t="shared" si="48"/>
        <v>30198</v>
      </c>
      <c r="BE43" s="82" t="str">
        <f t="shared" si="49"/>
        <v/>
      </c>
      <c r="BF43" s="82">
        <f t="shared" si="50"/>
        <v>30198</v>
      </c>
      <c r="BG43" s="82">
        <f t="shared" si="51"/>
        <v>30198</v>
      </c>
      <c r="BH43" s="82" t="str">
        <f t="shared" si="52"/>
        <v/>
      </c>
      <c r="BI43" s="90">
        <f t="shared" si="53"/>
        <v>4</v>
      </c>
      <c r="BJ43" s="90" t="str">
        <f t="shared" si="54"/>
        <v/>
      </c>
      <c r="BK43" s="90" t="str">
        <f t="shared" si="55"/>
        <v/>
      </c>
      <c r="BL43" s="90">
        <f t="shared" si="56"/>
        <v>4</v>
      </c>
    </row>
    <row r="44" spans="1:64" s="59" customFormat="1">
      <c r="A44" s="38">
        <v>38</v>
      </c>
      <c r="B44" s="39" t="s">
        <v>57</v>
      </c>
      <c r="C44" s="40" t="s">
        <v>214</v>
      </c>
      <c r="D44" s="41">
        <v>24</v>
      </c>
      <c r="E44" s="42">
        <v>46</v>
      </c>
      <c r="F44" s="43">
        <v>23</v>
      </c>
      <c r="G44" s="43">
        <f t="shared" si="79"/>
        <v>93</v>
      </c>
      <c r="H44" s="45">
        <v>2</v>
      </c>
      <c r="I44" s="45">
        <v>5</v>
      </c>
      <c r="J44" s="45">
        <v>2</v>
      </c>
      <c r="K44" s="45">
        <f t="shared" si="63"/>
        <v>9</v>
      </c>
      <c r="L44" s="45"/>
      <c r="M44" s="45"/>
      <c r="N44" s="45"/>
      <c r="O44" s="45">
        <f t="shared" si="64"/>
        <v>0</v>
      </c>
      <c r="P44" s="45">
        <v>1</v>
      </c>
      <c r="Q44" s="45">
        <v>24</v>
      </c>
      <c r="R44" s="45"/>
      <c r="S44" s="41">
        <f t="shared" si="71"/>
        <v>28</v>
      </c>
      <c r="T44" s="41">
        <f t="shared" si="66"/>
        <v>70</v>
      </c>
      <c r="U44" s="41">
        <f t="shared" si="67"/>
        <v>28</v>
      </c>
      <c r="V44" s="43">
        <f t="shared" si="68"/>
        <v>126</v>
      </c>
      <c r="W44" s="41">
        <f t="shared" si="22"/>
        <v>4</v>
      </c>
      <c r="X44" s="41">
        <f t="shared" si="23"/>
        <v>24</v>
      </c>
      <c r="Y44" s="41">
        <f t="shared" si="24"/>
        <v>5</v>
      </c>
      <c r="Z44" s="43">
        <f t="shared" si="25"/>
        <v>33</v>
      </c>
      <c r="AA44" s="81">
        <f t="shared" si="26"/>
        <v>3</v>
      </c>
      <c r="AB44" s="81">
        <f t="shared" si="27"/>
        <v>18</v>
      </c>
      <c r="AC44" s="81">
        <f t="shared" si="28"/>
        <v>3.75</v>
      </c>
      <c r="AD44" s="82">
        <f t="shared" si="69"/>
        <v>24.75</v>
      </c>
      <c r="AE44" s="81">
        <f t="shared" si="30"/>
        <v>27</v>
      </c>
      <c r="AF44" s="81">
        <f t="shared" si="31"/>
        <v>64</v>
      </c>
      <c r="AG44" s="81">
        <f t="shared" si="32"/>
        <v>26.75</v>
      </c>
      <c r="AH44" s="82">
        <f t="shared" si="70"/>
        <v>117.75</v>
      </c>
      <c r="AI44" s="41">
        <v>19957</v>
      </c>
      <c r="AJ44" s="41">
        <v>33979</v>
      </c>
      <c r="AK44" s="41">
        <v>36287</v>
      </c>
      <c r="AL44" s="43">
        <f t="shared" si="34"/>
        <v>90223</v>
      </c>
      <c r="AM44" s="81">
        <f t="shared" si="35"/>
        <v>59871</v>
      </c>
      <c r="AN44" s="81">
        <f t="shared" si="36"/>
        <v>611622</v>
      </c>
      <c r="AO44" s="81">
        <f t="shared" si="37"/>
        <v>136076.25</v>
      </c>
      <c r="AP44" s="82">
        <f t="shared" si="38"/>
        <v>807569.25</v>
      </c>
      <c r="AQ44" s="41">
        <v>1265</v>
      </c>
      <c r="AR44" s="41">
        <v>1441</v>
      </c>
      <c r="AS44" s="41">
        <v>1827</v>
      </c>
      <c r="AT44" s="43">
        <f t="shared" si="39"/>
        <v>4533</v>
      </c>
      <c r="AU44" s="81">
        <f t="shared" si="40"/>
        <v>3795</v>
      </c>
      <c r="AV44" s="81">
        <f t="shared" si="41"/>
        <v>25938</v>
      </c>
      <c r="AW44" s="81">
        <f t="shared" si="42"/>
        <v>6851.25</v>
      </c>
      <c r="AX44" s="82">
        <f t="shared" si="43"/>
        <v>36584.25</v>
      </c>
      <c r="AY44" s="81">
        <f t="shared" si="44"/>
        <v>63666</v>
      </c>
      <c r="AZ44" s="81">
        <f t="shared" si="45"/>
        <v>637560</v>
      </c>
      <c r="BA44" s="81">
        <f t="shared" si="46"/>
        <v>142927.5</v>
      </c>
      <c r="BB44" s="82">
        <f t="shared" si="47"/>
        <v>844153.5</v>
      </c>
      <c r="BC44" s="82">
        <v>1189928</v>
      </c>
      <c r="BD44" s="82">
        <f t="shared" si="48"/>
        <v>1189928</v>
      </c>
      <c r="BE44" s="82" t="str">
        <f t="shared" si="49"/>
        <v/>
      </c>
      <c r="BF44" s="82">
        <f t="shared" si="50"/>
        <v>345774.5</v>
      </c>
      <c r="BG44" s="82">
        <f t="shared" si="51"/>
        <v>345774.5</v>
      </c>
      <c r="BH44" s="82" t="str">
        <f t="shared" si="52"/>
        <v/>
      </c>
      <c r="BI44" s="90">
        <f t="shared" si="53"/>
        <v>12</v>
      </c>
      <c r="BJ44" s="90">
        <f t="shared" si="54"/>
        <v>9.1999999999999993</v>
      </c>
      <c r="BK44" s="90">
        <f t="shared" si="55"/>
        <v>11.5</v>
      </c>
      <c r="BL44" s="90">
        <f t="shared" si="56"/>
        <v>10.333333333333334</v>
      </c>
    </row>
    <row r="45" spans="1:64" s="59" customFormat="1">
      <c r="A45" s="38">
        <v>39</v>
      </c>
      <c r="B45" s="39" t="s">
        <v>58</v>
      </c>
      <c r="C45" s="40" t="s">
        <v>215</v>
      </c>
      <c r="D45" s="41">
        <v>26</v>
      </c>
      <c r="E45" s="42">
        <v>63</v>
      </c>
      <c r="F45" s="43">
        <v>24</v>
      </c>
      <c r="G45" s="43">
        <f t="shared" si="79"/>
        <v>113</v>
      </c>
      <c r="H45" s="45">
        <v>3</v>
      </c>
      <c r="I45" s="45">
        <v>5</v>
      </c>
      <c r="J45" s="45">
        <v>2</v>
      </c>
      <c r="K45" s="45">
        <f t="shared" si="63"/>
        <v>10</v>
      </c>
      <c r="L45" s="45"/>
      <c r="M45" s="45"/>
      <c r="N45" s="45"/>
      <c r="O45" s="45">
        <f t="shared" si="64"/>
        <v>0</v>
      </c>
      <c r="P45" s="45"/>
      <c r="Q45" s="45"/>
      <c r="R45" s="45"/>
      <c r="S45" s="41">
        <f t="shared" si="71"/>
        <v>42</v>
      </c>
      <c r="T45" s="41">
        <f t="shared" si="66"/>
        <v>70</v>
      </c>
      <c r="U45" s="41">
        <f t="shared" si="67"/>
        <v>28</v>
      </c>
      <c r="V45" s="43">
        <f t="shared" si="68"/>
        <v>140</v>
      </c>
      <c r="W45" s="41">
        <f t="shared" si="22"/>
        <v>16</v>
      </c>
      <c r="X45" s="41">
        <f t="shared" si="23"/>
        <v>7</v>
      </c>
      <c r="Y45" s="41">
        <f t="shared" si="24"/>
        <v>4</v>
      </c>
      <c r="Z45" s="43">
        <f t="shared" si="25"/>
        <v>27</v>
      </c>
      <c r="AA45" s="81">
        <f t="shared" si="26"/>
        <v>12</v>
      </c>
      <c r="AB45" s="81">
        <f t="shared" si="27"/>
        <v>5.25</v>
      </c>
      <c r="AC45" s="81">
        <f t="shared" si="28"/>
        <v>3</v>
      </c>
      <c r="AD45" s="82">
        <f t="shared" si="69"/>
        <v>20.25</v>
      </c>
      <c r="AE45" s="81">
        <f t="shared" si="30"/>
        <v>38</v>
      </c>
      <c r="AF45" s="81">
        <f t="shared" si="31"/>
        <v>68.25</v>
      </c>
      <c r="AG45" s="81">
        <f t="shared" si="32"/>
        <v>27</v>
      </c>
      <c r="AH45" s="82">
        <f t="shared" si="70"/>
        <v>133.25</v>
      </c>
      <c r="AI45" s="41">
        <v>19957</v>
      </c>
      <c r="AJ45" s="41">
        <v>33979</v>
      </c>
      <c r="AK45" s="41">
        <v>36287</v>
      </c>
      <c r="AL45" s="43">
        <f t="shared" si="34"/>
        <v>90223</v>
      </c>
      <c r="AM45" s="81">
        <f t="shared" si="35"/>
        <v>239484</v>
      </c>
      <c r="AN45" s="81">
        <f t="shared" si="36"/>
        <v>178389.75</v>
      </c>
      <c r="AO45" s="81">
        <f t="shared" si="37"/>
        <v>108861</v>
      </c>
      <c r="AP45" s="82">
        <f t="shared" si="38"/>
        <v>526734.75</v>
      </c>
      <c r="AQ45" s="41">
        <v>1265</v>
      </c>
      <c r="AR45" s="41">
        <v>1441</v>
      </c>
      <c r="AS45" s="41">
        <v>1827</v>
      </c>
      <c r="AT45" s="43">
        <f t="shared" si="39"/>
        <v>4533</v>
      </c>
      <c r="AU45" s="81">
        <f t="shared" si="40"/>
        <v>15180</v>
      </c>
      <c r="AV45" s="81">
        <f t="shared" si="41"/>
        <v>7565.25</v>
      </c>
      <c r="AW45" s="81">
        <f t="shared" si="42"/>
        <v>5481</v>
      </c>
      <c r="AX45" s="82">
        <f t="shared" si="43"/>
        <v>28226.25</v>
      </c>
      <c r="AY45" s="81">
        <f t="shared" si="44"/>
        <v>254664</v>
      </c>
      <c r="AZ45" s="81">
        <f t="shared" si="45"/>
        <v>185955</v>
      </c>
      <c r="BA45" s="81">
        <f t="shared" si="46"/>
        <v>114342</v>
      </c>
      <c r="BB45" s="82">
        <f t="shared" si="47"/>
        <v>554961</v>
      </c>
      <c r="BC45" s="82">
        <v>1113192</v>
      </c>
      <c r="BD45" s="82">
        <f t="shared" si="48"/>
        <v>1113192</v>
      </c>
      <c r="BE45" s="82" t="str">
        <f t="shared" si="49"/>
        <v/>
      </c>
      <c r="BF45" s="82">
        <f t="shared" si="50"/>
        <v>558231</v>
      </c>
      <c r="BG45" s="82">
        <f t="shared" si="51"/>
        <v>558231</v>
      </c>
      <c r="BH45" s="82" t="str">
        <f t="shared" si="52"/>
        <v/>
      </c>
      <c r="BI45" s="90">
        <f t="shared" si="53"/>
        <v>8.6666666666666661</v>
      </c>
      <c r="BJ45" s="90">
        <f t="shared" si="54"/>
        <v>12.6</v>
      </c>
      <c r="BK45" s="90">
        <f t="shared" si="55"/>
        <v>12</v>
      </c>
      <c r="BL45" s="90">
        <f t="shared" si="56"/>
        <v>11.3</v>
      </c>
    </row>
    <row r="46" spans="1:64" s="59" customFormat="1">
      <c r="A46" s="38">
        <v>40</v>
      </c>
      <c r="B46" s="39" t="s">
        <v>60</v>
      </c>
      <c r="C46" s="40" t="s">
        <v>216</v>
      </c>
      <c r="D46" s="41">
        <v>13</v>
      </c>
      <c r="E46" s="42">
        <v>42</v>
      </c>
      <c r="F46" s="43">
        <v>21</v>
      </c>
      <c r="G46" s="43">
        <f t="shared" si="79"/>
        <v>76</v>
      </c>
      <c r="H46" s="45">
        <v>2</v>
      </c>
      <c r="I46" s="45">
        <v>5</v>
      </c>
      <c r="J46" s="45">
        <v>2</v>
      </c>
      <c r="K46" s="45">
        <f t="shared" si="63"/>
        <v>9</v>
      </c>
      <c r="L46" s="45"/>
      <c r="M46" s="45"/>
      <c r="N46" s="45"/>
      <c r="O46" s="45">
        <f t="shared" si="64"/>
        <v>0</v>
      </c>
      <c r="P46" s="45"/>
      <c r="Q46" s="45"/>
      <c r="R46" s="45"/>
      <c r="S46" s="41">
        <f t="shared" si="71"/>
        <v>28</v>
      </c>
      <c r="T46" s="41">
        <f t="shared" si="66"/>
        <v>70</v>
      </c>
      <c r="U46" s="41">
        <f t="shared" si="67"/>
        <v>28</v>
      </c>
      <c r="V46" s="43">
        <f t="shared" si="68"/>
        <v>126</v>
      </c>
      <c r="W46" s="41">
        <f t="shared" si="22"/>
        <v>15</v>
      </c>
      <c r="X46" s="41">
        <f t="shared" si="23"/>
        <v>28</v>
      </c>
      <c r="Y46" s="41">
        <f t="shared" si="24"/>
        <v>7</v>
      </c>
      <c r="Z46" s="43">
        <f t="shared" si="25"/>
        <v>50</v>
      </c>
      <c r="AA46" s="81">
        <f t="shared" si="26"/>
        <v>11.25</v>
      </c>
      <c r="AB46" s="81">
        <f t="shared" si="27"/>
        <v>21</v>
      </c>
      <c r="AC46" s="81">
        <f t="shared" si="28"/>
        <v>5.25</v>
      </c>
      <c r="AD46" s="82">
        <f t="shared" si="69"/>
        <v>37.5</v>
      </c>
      <c r="AE46" s="81">
        <f t="shared" si="30"/>
        <v>24.25</v>
      </c>
      <c r="AF46" s="81">
        <f t="shared" si="31"/>
        <v>63</v>
      </c>
      <c r="AG46" s="81">
        <f t="shared" si="32"/>
        <v>26.25</v>
      </c>
      <c r="AH46" s="82">
        <f t="shared" si="70"/>
        <v>113.5</v>
      </c>
      <c r="AI46" s="41">
        <v>19957</v>
      </c>
      <c r="AJ46" s="41">
        <v>33979</v>
      </c>
      <c r="AK46" s="41">
        <v>36287</v>
      </c>
      <c r="AL46" s="43">
        <f t="shared" si="34"/>
        <v>90223</v>
      </c>
      <c r="AM46" s="81">
        <f t="shared" si="35"/>
        <v>224516.25</v>
      </c>
      <c r="AN46" s="81">
        <f t="shared" si="36"/>
        <v>713559</v>
      </c>
      <c r="AO46" s="81">
        <f t="shared" si="37"/>
        <v>190506.75</v>
      </c>
      <c r="AP46" s="82">
        <f t="shared" si="38"/>
        <v>1128582</v>
      </c>
      <c r="AQ46" s="41">
        <v>1265</v>
      </c>
      <c r="AR46" s="41">
        <v>1441</v>
      </c>
      <c r="AS46" s="41">
        <v>1827</v>
      </c>
      <c r="AT46" s="43">
        <f t="shared" si="39"/>
        <v>4533</v>
      </c>
      <c r="AU46" s="81">
        <f t="shared" si="40"/>
        <v>14231.25</v>
      </c>
      <c r="AV46" s="81">
        <f t="shared" si="41"/>
        <v>30261</v>
      </c>
      <c r="AW46" s="81">
        <f t="shared" si="42"/>
        <v>9591.75</v>
      </c>
      <c r="AX46" s="82">
        <f t="shared" si="43"/>
        <v>54084</v>
      </c>
      <c r="AY46" s="81">
        <f t="shared" si="44"/>
        <v>238747.5</v>
      </c>
      <c r="AZ46" s="81">
        <f t="shared" si="45"/>
        <v>743820</v>
      </c>
      <c r="BA46" s="81">
        <f t="shared" si="46"/>
        <v>200098.5</v>
      </c>
      <c r="BB46" s="82">
        <f t="shared" si="47"/>
        <v>1182666</v>
      </c>
      <c r="BC46" s="82">
        <v>1782410</v>
      </c>
      <c r="BD46" s="82">
        <f t="shared" si="48"/>
        <v>1782410</v>
      </c>
      <c r="BE46" s="82" t="str">
        <f t="shared" si="49"/>
        <v/>
      </c>
      <c r="BF46" s="82">
        <f t="shared" si="50"/>
        <v>599744</v>
      </c>
      <c r="BG46" s="82">
        <f t="shared" si="51"/>
        <v>599744</v>
      </c>
      <c r="BH46" s="82" t="str">
        <f t="shared" si="52"/>
        <v/>
      </c>
      <c r="BI46" s="90">
        <f t="shared" si="53"/>
        <v>6.5</v>
      </c>
      <c r="BJ46" s="90">
        <f t="shared" si="54"/>
        <v>8.4</v>
      </c>
      <c r="BK46" s="90">
        <f t="shared" si="55"/>
        <v>10.5</v>
      </c>
      <c r="BL46" s="90">
        <f t="shared" si="56"/>
        <v>8.4444444444444446</v>
      </c>
    </row>
    <row r="47" spans="1:64" s="59" customFormat="1">
      <c r="A47" s="38">
        <v>41</v>
      </c>
      <c r="B47" s="39" t="s">
        <v>61</v>
      </c>
      <c r="C47" s="40" t="s">
        <v>217</v>
      </c>
      <c r="D47" s="41">
        <v>29</v>
      </c>
      <c r="E47" s="42">
        <v>54</v>
      </c>
      <c r="F47" s="43">
        <v>28</v>
      </c>
      <c r="G47" s="43">
        <f t="shared" si="79"/>
        <v>111</v>
      </c>
      <c r="H47" s="45">
        <v>3</v>
      </c>
      <c r="I47" s="45">
        <v>5</v>
      </c>
      <c r="J47" s="45">
        <v>2</v>
      </c>
      <c r="K47" s="45">
        <f t="shared" si="63"/>
        <v>10</v>
      </c>
      <c r="L47" s="45"/>
      <c r="M47" s="45"/>
      <c r="N47" s="45"/>
      <c r="O47" s="45">
        <f t="shared" si="64"/>
        <v>0</v>
      </c>
      <c r="P47" s="45"/>
      <c r="Q47" s="45"/>
      <c r="R47" s="45"/>
      <c r="S47" s="41">
        <f t="shared" si="71"/>
        <v>42</v>
      </c>
      <c r="T47" s="41">
        <f t="shared" si="66"/>
        <v>70</v>
      </c>
      <c r="U47" s="41">
        <f t="shared" si="67"/>
        <v>28</v>
      </c>
      <c r="V47" s="43">
        <f t="shared" si="68"/>
        <v>140</v>
      </c>
      <c r="W47" s="41">
        <f t="shared" si="22"/>
        <v>13</v>
      </c>
      <c r="X47" s="41">
        <f t="shared" si="23"/>
        <v>16</v>
      </c>
      <c r="Y47" s="41">
        <f t="shared" si="24"/>
        <v>0</v>
      </c>
      <c r="Z47" s="43">
        <f t="shared" si="25"/>
        <v>29</v>
      </c>
      <c r="AA47" s="81">
        <f t="shared" si="26"/>
        <v>9.75</v>
      </c>
      <c r="AB47" s="81">
        <f t="shared" si="27"/>
        <v>12</v>
      </c>
      <c r="AC47" s="81">
        <f t="shared" si="28"/>
        <v>0</v>
      </c>
      <c r="AD47" s="82">
        <f t="shared" si="69"/>
        <v>21.75</v>
      </c>
      <c r="AE47" s="81">
        <f t="shared" si="30"/>
        <v>38.75</v>
      </c>
      <c r="AF47" s="81">
        <f t="shared" si="31"/>
        <v>66</v>
      </c>
      <c r="AG47" s="81">
        <f t="shared" si="32"/>
        <v>28</v>
      </c>
      <c r="AH47" s="82">
        <f t="shared" si="70"/>
        <v>132.75</v>
      </c>
      <c r="AI47" s="41">
        <v>19957</v>
      </c>
      <c r="AJ47" s="41">
        <v>33979</v>
      </c>
      <c r="AK47" s="41">
        <v>36287</v>
      </c>
      <c r="AL47" s="43">
        <f t="shared" si="34"/>
        <v>90223</v>
      </c>
      <c r="AM47" s="81">
        <f t="shared" si="35"/>
        <v>194580.75</v>
      </c>
      <c r="AN47" s="81">
        <f t="shared" si="36"/>
        <v>407748</v>
      </c>
      <c r="AO47" s="81">
        <f t="shared" si="37"/>
        <v>0</v>
      </c>
      <c r="AP47" s="82">
        <f t="shared" si="38"/>
        <v>602328.75</v>
      </c>
      <c r="AQ47" s="41">
        <v>1265</v>
      </c>
      <c r="AR47" s="41">
        <v>1441</v>
      </c>
      <c r="AS47" s="41">
        <v>1827</v>
      </c>
      <c r="AT47" s="43">
        <f t="shared" si="39"/>
        <v>4533</v>
      </c>
      <c r="AU47" s="81">
        <f t="shared" si="40"/>
        <v>12333.75</v>
      </c>
      <c r="AV47" s="81">
        <f t="shared" si="41"/>
        <v>17292</v>
      </c>
      <c r="AW47" s="81">
        <f t="shared" si="42"/>
        <v>0</v>
      </c>
      <c r="AX47" s="82">
        <f t="shared" si="43"/>
        <v>29625.75</v>
      </c>
      <c r="AY47" s="81">
        <f t="shared" si="44"/>
        <v>206914.5</v>
      </c>
      <c r="AZ47" s="81">
        <f t="shared" si="45"/>
        <v>425040</v>
      </c>
      <c r="BA47" s="81">
        <f t="shared" si="46"/>
        <v>0</v>
      </c>
      <c r="BB47" s="82">
        <f t="shared" si="47"/>
        <v>631954.5</v>
      </c>
      <c r="BC47" s="82">
        <v>1295730</v>
      </c>
      <c r="BD47" s="82">
        <f t="shared" si="48"/>
        <v>1295730</v>
      </c>
      <c r="BE47" s="82" t="str">
        <f t="shared" si="49"/>
        <v/>
      </c>
      <c r="BF47" s="82">
        <f t="shared" si="50"/>
        <v>663775.5</v>
      </c>
      <c r="BG47" s="82">
        <f t="shared" si="51"/>
        <v>663775.5</v>
      </c>
      <c r="BH47" s="82" t="str">
        <f t="shared" si="52"/>
        <v/>
      </c>
      <c r="BI47" s="90">
        <f t="shared" si="53"/>
        <v>9.6666666666666661</v>
      </c>
      <c r="BJ47" s="90">
        <f t="shared" si="54"/>
        <v>10.8</v>
      </c>
      <c r="BK47" s="90">
        <f t="shared" si="55"/>
        <v>14</v>
      </c>
      <c r="BL47" s="90">
        <f t="shared" si="56"/>
        <v>11.1</v>
      </c>
    </row>
    <row r="48" spans="1:64" s="59" customFormat="1">
      <c r="A48" s="38">
        <v>42</v>
      </c>
      <c r="B48" s="39" t="s">
        <v>26</v>
      </c>
      <c r="C48" s="40" t="s">
        <v>218</v>
      </c>
      <c r="D48" s="41">
        <v>13</v>
      </c>
      <c r="E48" s="42"/>
      <c r="F48" s="43"/>
      <c r="G48" s="43">
        <f t="shared" si="79"/>
        <v>13</v>
      </c>
      <c r="H48" s="45">
        <v>2</v>
      </c>
      <c r="I48" s="45"/>
      <c r="J48" s="45"/>
      <c r="K48" s="45">
        <f t="shared" si="63"/>
        <v>2</v>
      </c>
      <c r="L48" s="45"/>
      <c r="M48" s="45"/>
      <c r="N48" s="45"/>
      <c r="O48" s="45">
        <f t="shared" si="64"/>
        <v>0</v>
      </c>
      <c r="P48" s="45"/>
      <c r="Q48" s="45"/>
      <c r="R48" s="45"/>
      <c r="S48" s="87">
        <f t="shared" ref="S48:S51" si="80">G48</f>
        <v>13</v>
      </c>
      <c r="T48" s="41">
        <f t="shared" si="66"/>
        <v>0</v>
      </c>
      <c r="U48" s="41">
        <f t="shared" si="67"/>
        <v>0</v>
      </c>
      <c r="V48" s="43">
        <f t="shared" si="68"/>
        <v>13</v>
      </c>
      <c r="W48" s="41">
        <f t="shared" si="22"/>
        <v>0</v>
      </c>
      <c r="X48" s="41">
        <f t="shared" si="23"/>
        <v>0</v>
      </c>
      <c r="Y48" s="41">
        <f t="shared" si="24"/>
        <v>0</v>
      </c>
      <c r="Z48" s="43">
        <f t="shared" si="25"/>
        <v>0</v>
      </c>
      <c r="AA48" s="81">
        <f t="shared" si="26"/>
        <v>0</v>
      </c>
      <c r="AB48" s="81">
        <f t="shared" si="27"/>
        <v>0</v>
      </c>
      <c r="AC48" s="81">
        <f t="shared" si="28"/>
        <v>0</v>
      </c>
      <c r="AD48" s="82">
        <f t="shared" si="69"/>
        <v>0</v>
      </c>
      <c r="AE48" s="81">
        <f t="shared" si="30"/>
        <v>13</v>
      </c>
      <c r="AF48" s="81">
        <f t="shared" si="31"/>
        <v>0</v>
      </c>
      <c r="AG48" s="81">
        <f t="shared" si="32"/>
        <v>0</v>
      </c>
      <c r="AH48" s="82">
        <f t="shared" si="70"/>
        <v>13</v>
      </c>
      <c r="AI48" s="41">
        <v>19957</v>
      </c>
      <c r="AJ48" s="41">
        <v>33979</v>
      </c>
      <c r="AK48" s="41">
        <v>36287</v>
      </c>
      <c r="AL48" s="43">
        <f t="shared" si="34"/>
        <v>90223</v>
      </c>
      <c r="AM48" s="81">
        <f t="shared" si="35"/>
        <v>0</v>
      </c>
      <c r="AN48" s="81">
        <f t="shared" si="36"/>
        <v>0</v>
      </c>
      <c r="AO48" s="81">
        <f t="shared" si="37"/>
        <v>0</v>
      </c>
      <c r="AP48" s="82">
        <f t="shared" si="38"/>
        <v>0</v>
      </c>
      <c r="AQ48" s="41">
        <v>1265</v>
      </c>
      <c r="AR48" s="41">
        <v>1441</v>
      </c>
      <c r="AS48" s="41">
        <v>1827</v>
      </c>
      <c r="AT48" s="43">
        <f t="shared" si="39"/>
        <v>4533</v>
      </c>
      <c r="AU48" s="81">
        <f t="shared" si="40"/>
        <v>0</v>
      </c>
      <c r="AV48" s="81">
        <f t="shared" si="41"/>
        <v>0</v>
      </c>
      <c r="AW48" s="81">
        <f t="shared" si="42"/>
        <v>0</v>
      </c>
      <c r="AX48" s="82">
        <f t="shared" si="43"/>
        <v>0</v>
      </c>
      <c r="AY48" s="81">
        <f t="shared" si="44"/>
        <v>0</v>
      </c>
      <c r="AZ48" s="81">
        <f t="shared" si="45"/>
        <v>0</v>
      </c>
      <c r="BA48" s="81">
        <f t="shared" si="46"/>
        <v>0</v>
      </c>
      <c r="BB48" s="82">
        <f t="shared" si="47"/>
        <v>0</v>
      </c>
      <c r="BC48" s="82">
        <v>98198</v>
      </c>
      <c r="BD48" s="82">
        <f t="shared" si="48"/>
        <v>98198</v>
      </c>
      <c r="BE48" s="82" t="str">
        <f t="shared" si="49"/>
        <v/>
      </c>
      <c r="BF48" s="82">
        <f t="shared" si="50"/>
        <v>98198</v>
      </c>
      <c r="BG48" s="82">
        <f t="shared" si="51"/>
        <v>98198</v>
      </c>
      <c r="BH48" s="82" t="str">
        <f t="shared" si="52"/>
        <v/>
      </c>
      <c r="BI48" s="90">
        <f t="shared" si="53"/>
        <v>6.5</v>
      </c>
      <c r="BJ48" s="90" t="str">
        <f t="shared" si="54"/>
        <v/>
      </c>
      <c r="BK48" s="90" t="str">
        <f t="shared" si="55"/>
        <v/>
      </c>
      <c r="BL48" s="90">
        <f t="shared" si="56"/>
        <v>6.5</v>
      </c>
    </row>
    <row r="49" spans="1:64" s="59" customFormat="1">
      <c r="A49" s="38">
        <v>43</v>
      </c>
      <c r="B49" s="39" t="s">
        <v>27</v>
      </c>
      <c r="C49" s="40" t="s">
        <v>219</v>
      </c>
      <c r="D49" s="41">
        <v>12</v>
      </c>
      <c r="E49" s="42"/>
      <c r="F49" s="43"/>
      <c r="G49" s="43">
        <f t="shared" si="79"/>
        <v>12</v>
      </c>
      <c r="H49" s="45">
        <v>3</v>
      </c>
      <c r="I49" s="45"/>
      <c r="J49" s="45"/>
      <c r="K49" s="45">
        <f t="shared" si="63"/>
        <v>3</v>
      </c>
      <c r="L49" s="45"/>
      <c r="M49" s="45"/>
      <c r="N49" s="45"/>
      <c r="O49" s="45">
        <f t="shared" si="64"/>
        <v>0</v>
      </c>
      <c r="P49" s="45"/>
      <c r="Q49" s="45"/>
      <c r="R49" s="45"/>
      <c r="S49" s="87">
        <f t="shared" si="80"/>
        <v>12</v>
      </c>
      <c r="T49" s="41">
        <f t="shared" si="66"/>
        <v>0</v>
      </c>
      <c r="U49" s="41">
        <f t="shared" si="67"/>
        <v>0</v>
      </c>
      <c r="V49" s="43">
        <f t="shared" si="68"/>
        <v>12</v>
      </c>
      <c r="W49" s="41">
        <f t="shared" si="22"/>
        <v>0</v>
      </c>
      <c r="X49" s="41">
        <f t="shared" si="23"/>
        <v>0</v>
      </c>
      <c r="Y49" s="41">
        <f t="shared" si="24"/>
        <v>0</v>
      </c>
      <c r="Z49" s="43">
        <f t="shared" si="25"/>
        <v>0</v>
      </c>
      <c r="AA49" s="81">
        <f t="shared" si="26"/>
        <v>0</v>
      </c>
      <c r="AB49" s="81">
        <f t="shared" si="27"/>
        <v>0</v>
      </c>
      <c r="AC49" s="81">
        <f t="shared" si="28"/>
        <v>0</v>
      </c>
      <c r="AD49" s="82">
        <f t="shared" si="69"/>
        <v>0</v>
      </c>
      <c r="AE49" s="81">
        <f t="shared" si="30"/>
        <v>12</v>
      </c>
      <c r="AF49" s="81">
        <f t="shared" si="31"/>
        <v>0</v>
      </c>
      <c r="AG49" s="81">
        <f t="shared" si="32"/>
        <v>0</v>
      </c>
      <c r="AH49" s="82">
        <f t="shared" si="70"/>
        <v>12</v>
      </c>
      <c r="AI49" s="41">
        <v>19957</v>
      </c>
      <c r="AJ49" s="41">
        <v>33979</v>
      </c>
      <c r="AK49" s="41">
        <v>36287</v>
      </c>
      <c r="AL49" s="43">
        <f t="shared" si="34"/>
        <v>90223</v>
      </c>
      <c r="AM49" s="81">
        <f t="shared" si="35"/>
        <v>0</v>
      </c>
      <c r="AN49" s="81">
        <f t="shared" si="36"/>
        <v>0</v>
      </c>
      <c r="AO49" s="81">
        <f t="shared" si="37"/>
        <v>0</v>
      </c>
      <c r="AP49" s="82">
        <f t="shared" si="38"/>
        <v>0</v>
      </c>
      <c r="AQ49" s="41">
        <v>1265</v>
      </c>
      <c r="AR49" s="41">
        <v>1441</v>
      </c>
      <c r="AS49" s="41">
        <v>1827</v>
      </c>
      <c r="AT49" s="43">
        <f t="shared" si="39"/>
        <v>4533</v>
      </c>
      <c r="AU49" s="81">
        <f t="shared" si="40"/>
        <v>0</v>
      </c>
      <c r="AV49" s="81">
        <f t="shared" si="41"/>
        <v>0</v>
      </c>
      <c r="AW49" s="81">
        <f t="shared" si="42"/>
        <v>0</v>
      </c>
      <c r="AX49" s="82">
        <f t="shared" si="43"/>
        <v>0</v>
      </c>
      <c r="AY49" s="81">
        <f t="shared" si="44"/>
        <v>0</v>
      </c>
      <c r="AZ49" s="81">
        <f t="shared" si="45"/>
        <v>0</v>
      </c>
      <c r="BA49" s="81">
        <f t="shared" si="46"/>
        <v>0</v>
      </c>
      <c r="BB49" s="82">
        <f t="shared" si="47"/>
        <v>0</v>
      </c>
      <c r="BC49" s="82">
        <v>-23153</v>
      </c>
      <c r="BD49" s="82" t="str">
        <f t="shared" si="48"/>
        <v/>
      </c>
      <c r="BE49" s="82">
        <f t="shared" si="49"/>
        <v>-23153</v>
      </c>
      <c r="BF49" s="82">
        <f t="shared" si="50"/>
        <v>-23153</v>
      </c>
      <c r="BG49" s="82" t="str">
        <f t="shared" si="51"/>
        <v/>
      </c>
      <c r="BH49" s="82">
        <f t="shared" si="52"/>
        <v>-23153</v>
      </c>
      <c r="BI49" s="90">
        <f t="shared" si="53"/>
        <v>4</v>
      </c>
      <c r="BJ49" s="90" t="str">
        <f t="shared" si="54"/>
        <v/>
      </c>
      <c r="BK49" s="90" t="str">
        <f t="shared" si="55"/>
        <v/>
      </c>
      <c r="BL49" s="90">
        <f t="shared" si="56"/>
        <v>4</v>
      </c>
    </row>
    <row r="50" spans="1:64" s="59" customFormat="1">
      <c r="A50" s="38">
        <v>44</v>
      </c>
      <c r="B50" s="39" t="s">
        <v>28</v>
      </c>
      <c r="C50" s="40" t="s">
        <v>220</v>
      </c>
      <c r="D50" s="41">
        <v>12</v>
      </c>
      <c r="E50" s="42"/>
      <c r="F50" s="43"/>
      <c r="G50" s="43">
        <f t="shared" si="79"/>
        <v>12</v>
      </c>
      <c r="H50" s="45">
        <v>2</v>
      </c>
      <c r="I50" s="45"/>
      <c r="J50" s="45"/>
      <c r="K50" s="45">
        <f t="shared" si="63"/>
        <v>2</v>
      </c>
      <c r="L50" s="45"/>
      <c r="M50" s="45"/>
      <c r="N50" s="45"/>
      <c r="O50" s="45">
        <f t="shared" si="64"/>
        <v>0</v>
      </c>
      <c r="P50" s="45"/>
      <c r="Q50" s="45"/>
      <c r="R50" s="45"/>
      <c r="S50" s="87">
        <f t="shared" si="80"/>
        <v>12</v>
      </c>
      <c r="T50" s="41">
        <f t="shared" si="66"/>
        <v>0</v>
      </c>
      <c r="U50" s="41">
        <f t="shared" si="67"/>
        <v>0</v>
      </c>
      <c r="V50" s="43">
        <f t="shared" si="68"/>
        <v>12</v>
      </c>
      <c r="W50" s="41">
        <f t="shared" si="22"/>
        <v>0</v>
      </c>
      <c r="X50" s="41">
        <f t="shared" si="23"/>
        <v>0</v>
      </c>
      <c r="Y50" s="41">
        <f t="shared" si="24"/>
        <v>0</v>
      </c>
      <c r="Z50" s="43">
        <f t="shared" si="25"/>
        <v>0</v>
      </c>
      <c r="AA50" s="81">
        <f t="shared" si="26"/>
        <v>0</v>
      </c>
      <c r="AB50" s="81">
        <f t="shared" si="27"/>
        <v>0</v>
      </c>
      <c r="AC50" s="81">
        <f t="shared" si="28"/>
        <v>0</v>
      </c>
      <c r="AD50" s="82">
        <f t="shared" si="69"/>
        <v>0</v>
      </c>
      <c r="AE50" s="81">
        <f t="shared" si="30"/>
        <v>12</v>
      </c>
      <c r="AF50" s="81">
        <f t="shared" si="31"/>
        <v>0</v>
      </c>
      <c r="AG50" s="81">
        <f t="shared" si="32"/>
        <v>0</v>
      </c>
      <c r="AH50" s="82">
        <f t="shared" si="70"/>
        <v>12</v>
      </c>
      <c r="AI50" s="41">
        <v>19957</v>
      </c>
      <c r="AJ50" s="41">
        <v>33979</v>
      </c>
      <c r="AK50" s="41">
        <v>36287</v>
      </c>
      <c r="AL50" s="43">
        <f t="shared" si="34"/>
        <v>90223</v>
      </c>
      <c r="AM50" s="81">
        <f t="shared" si="35"/>
        <v>0</v>
      </c>
      <c r="AN50" s="81">
        <f t="shared" si="36"/>
        <v>0</v>
      </c>
      <c r="AO50" s="81">
        <f t="shared" si="37"/>
        <v>0</v>
      </c>
      <c r="AP50" s="82">
        <f t="shared" si="38"/>
        <v>0</v>
      </c>
      <c r="AQ50" s="41">
        <v>1265</v>
      </c>
      <c r="AR50" s="41">
        <v>1441</v>
      </c>
      <c r="AS50" s="41">
        <v>1827</v>
      </c>
      <c r="AT50" s="43">
        <f t="shared" si="39"/>
        <v>4533</v>
      </c>
      <c r="AU50" s="81">
        <f t="shared" si="40"/>
        <v>0</v>
      </c>
      <c r="AV50" s="81">
        <f t="shared" si="41"/>
        <v>0</v>
      </c>
      <c r="AW50" s="81">
        <f t="shared" si="42"/>
        <v>0</v>
      </c>
      <c r="AX50" s="82">
        <f t="shared" si="43"/>
        <v>0</v>
      </c>
      <c r="AY50" s="81">
        <f t="shared" si="44"/>
        <v>0</v>
      </c>
      <c r="AZ50" s="81">
        <f t="shared" si="45"/>
        <v>0</v>
      </c>
      <c r="BA50" s="81">
        <f t="shared" si="46"/>
        <v>0</v>
      </c>
      <c r="BB50" s="82">
        <f t="shared" si="47"/>
        <v>0</v>
      </c>
      <c r="BC50" s="82">
        <v>-96753</v>
      </c>
      <c r="BD50" s="82" t="str">
        <f t="shared" si="48"/>
        <v/>
      </c>
      <c r="BE50" s="82">
        <f t="shared" si="49"/>
        <v>-96753</v>
      </c>
      <c r="BF50" s="82">
        <f t="shared" si="50"/>
        <v>-96753</v>
      </c>
      <c r="BG50" s="82" t="str">
        <f t="shared" si="51"/>
        <v/>
      </c>
      <c r="BH50" s="82">
        <f t="shared" si="52"/>
        <v>-96753</v>
      </c>
      <c r="BI50" s="90">
        <f t="shared" si="53"/>
        <v>6</v>
      </c>
      <c r="BJ50" s="90" t="str">
        <f t="shared" si="54"/>
        <v/>
      </c>
      <c r="BK50" s="90" t="str">
        <f t="shared" si="55"/>
        <v/>
      </c>
      <c r="BL50" s="90">
        <f t="shared" si="56"/>
        <v>6</v>
      </c>
    </row>
    <row r="51" spans="1:64" s="59" customFormat="1">
      <c r="A51" s="38">
        <v>45</v>
      </c>
      <c r="B51" s="39" t="s">
        <v>29</v>
      </c>
      <c r="C51" s="40" t="s">
        <v>221</v>
      </c>
      <c r="D51" s="41">
        <v>12</v>
      </c>
      <c r="E51" s="42"/>
      <c r="F51" s="43"/>
      <c r="G51" s="43">
        <f t="shared" si="79"/>
        <v>12</v>
      </c>
      <c r="H51" s="45">
        <v>3</v>
      </c>
      <c r="I51" s="45"/>
      <c r="J51" s="45"/>
      <c r="K51" s="45">
        <f t="shared" si="63"/>
        <v>3</v>
      </c>
      <c r="L51" s="45"/>
      <c r="M51" s="45"/>
      <c r="N51" s="45"/>
      <c r="O51" s="45">
        <f t="shared" si="64"/>
        <v>0</v>
      </c>
      <c r="P51" s="45"/>
      <c r="Q51" s="45"/>
      <c r="R51" s="45"/>
      <c r="S51" s="87">
        <f t="shared" si="80"/>
        <v>12</v>
      </c>
      <c r="T51" s="41">
        <f t="shared" si="66"/>
        <v>0</v>
      </c>
      <c r="U51" s="41">
        <f t="shared" si="67"/>
        <v>0</v>
      </c>
      <c r="V51" s="43">
        <f t="shared" si="68"/>
        <v>12</v>
      </c>
      <c r="W51" s="41">
        <f t="shared" si="22"/>
        <v>0</v>
      </c>
      <c r="X51" s="41">
        <f t="shared" si="23"/>
        <v>0</v>
      </c>
      <c r="Y51" s="41">
        <f t="shared" si="24"/>
        <v>0</v>
      </c>
      <c r="Z51" s="43">
        <f t="shared" si="25"/>
        <v>0</v>
      </c>
      <c r="AA51" s="81">
        <f t="shared" si="26"/>
        <v>0</v>
      </c>
      <c r="AB51" s="81">
        <f t="shared" si="27"/>
        <v>0</v>
      </c>
      <c r="AC51" s="81">
        <f t="shared" si="28"/>
        <v>0</v>
      </c>
      <c r="AD51" s="82">
        <f t="shared" si="69"/>
        <v>0</v>
      </c>
      <c r="AE51" s="81">
        <f t="shared" si="30"/>
        <v>12</v>
      </c>
      <c r="AF51" s="81">
        <f t="shared" si="31"/>
        <v>0</v>
      </c>
      <c r="AG51" s="81">
        <f t="shared" si="32"/>
        <v>0</v>
      </c>
      <c r="AH51" s="82">
        <f t="shared" si="70"/>
        <v>12</v>
      </c>
      <c r="AI51" s="41">
        <v>19957</v>
      </c>
      <c r="AJ51" s="41">
        <v>33979</v>
      </c>
      <c r="AK51" s="41">
        <v>36287</v>
      </c>
      <c r="AL51" s="43">
        <f t="shared" si="34"/>
        <v>90223</v>
      </c>
      <c r="AM51" s="81">
        <f t="shared" si="35"/>
        <v>0</v>
      </c>
      <c r="AN51" s="81">
        <f t="shared" si="36"/>
        <v>0</v>
      </c>
      <c r="AO51" s="81">
        <f t="shared" si="37"/>
        <v>0</v>
      </c>
      <c r="AP51" s="82">
        <f t="shared" si="38"/>
        <v>0</v>
      </c>
      <c r="AQ51" s="41">
        <v>1265</v>
      </c>
      <c r="AR51" s="41">
        <v>1441</v>
      </c>
      <c r="AS51" s="41">
        <v>1827</v>
      </c>
      <c r="AT51" s="43">
        <f t="shared" si="39"/>
        <v>4533</v>
      </c>
      <c r="AU51" s="81">
        <f t="shared" si="40"/>
        <v>0</v>
      </c>
      <c r="AV51" s="81">
        <f t="shared" si="41"/>
        <v>0</v>
      </c>
      <c r="AW51" s="81">
        <f t="shared" si="42"/>
        <v>0</v>
      </c>
      <c r="AX51" s="82">
        <f t="shared" si="43"/>
        <v>0</v>
      </c>
      <c r="AY51" s="81">
        <f t="shared" si="44"/>
        <v>0</v>
      </c>
      <c r="AZ51" s="81">
        <f t="shared" si="45"/>
        <v>0</v>
      </c>
      <c r="BA51" s="81">
        <f t="shared" si="46"/>
        <v>0</v>
      </c>
      <c r="BB51" s="82">
        <f t="shared" si="47"/>
        <v>0</v>
      </c>
      <c r="BC51" s="82">
        <v>90147</v>
      </c>
      <c r="BD51" s="82">
        <f t="shared" si="48"/>
        <v>90147</v>
      </c>
      <c r="BE51" s="82" t="str">
        <f t="shared" si="49"/>
        <v/>
      </c>
      <c r="BF51" s="82">
        <f t="shared" si="50"/>
        <v>90147</v>
      </c>
      <c r="BG51" s="82">
        <f t="shared" si="51"/>
        <v>90147</v>
      </c>
      <c r="BH51" s="82" t="str">
        <f t="shared" si="52"/>
        <v/>
      </c>
      <c r="BI51" s="90">
        <f t="shared" si="53"/>
        <v>4</v>
      </c>
      <c r="BJ51" s="90" t="str">
        <f t="shared" si="54"/>
        <v/>
      </c>
      <c r="BK51" s="90" t="str">
        <f t="shared" si="55"/>
        <v/>
      </c>
      <c r="BL51" s="90">
        <f t="shared" si="56"/>
        <v>4</v>
      </c>
    </row>
    <row r="52" spans="1:64" s="59" customFormat="1">
      <c r="A52" s="38">
        <v>46</v>
      </c>
      <c r="B52" s="39" t="s">
        <v>62</v>
      </c>
      <c r="C52" s="40" t="s">
        <v>222</v>
      </c>
      <c r="D52" s="41">
        <v>22</v>
      </c>
      <c r="E52" s="42">
        <v>73</v>
      </c>
      <c r="F52" s="43">
        <v>34</v>
      </c>
      <c r="G52" s="43">
        <f t="shared" si="79"/>
        <v>129</v>
      </c>
      <c r="H52" s="45">
        <v>3</v>
      </c>
      <c r="I52" s="45">
        <v>5</v>
      </c>
      <c r="J52" s="45">
        <v>2</v>
      </c>
      <c r="K52" s="45">
        <f t="shared" si="63"/>
        <v>10</v>
      </c>
      <c r="L52" s="45"/>
      <c r="M52" s="45">
        <v>1</v>
      </c>
      <c r="N52" s="45"/>
      <c r="O52" s="45">
        <f t="shared" si="64"/>
        <v>1</v>
      </c>
      <c r="P52" s="45">
        <v>1</v>
      </c>
      <c r="Q52" s="45">
        <v>25</v>
      </c>
      <c r="R52" s="45"/>
      <c r="S52" s="41">
        <f t="shared" si="71"/>
        <v>42</v>
      </c>
      <c r="T52" s="41">
        <f t="shared" si="66"/>
        <v>70</v>
      </c>
      <c r="U52" s="41">
        <f t="shared" si="67"/>
        <v>28</v>
      </c>
      <c r="V52" s="43">
        <f t="shared" si="68"/>
        <v>140</v>
      </c>
      <c r="W52" s="41">
        <f t="shared" si="22"/>
        <v>20</v>
      </c>
      <c r="X52" s="41">
        <f t="shared" si="23"/>
        <v>-3</v>
      </c>
      <c r="Y52" s="41">
        <f t="shared" si="24"/>
        <v>-6</v>
      </c>
      <c r="Z52" s="43">
        <f t="shared" si="25"/>
        <v>11</v>
      </c>
      <c r="AA52" s="81">
        <f t="shared" si="26"/>
        <v>15</v>
      </c>
      <c r="AB52" s="81">
        <f t="shared" si="27"/>
        <v>0.60000000000000009</v>
      </c>
      <c r="AC52" s="81">
        <f t="shared" si="28"/>
        <v>1.2000000000000002</v>
      </c>
      <c r="AD52" s="82">
        <f t="shared" si="69"/>
        <v>16.8</v>
      </c>
      <c r="AE52" s="81">
        <f t="shared" si="30"/>
        <v>37</v>
      </c>
      <c r="AF52" s="81">
        <f t="shared" si="31"/>
        <v>73.599999999999994</v>
      </c>
      <c r="AG52" s="81">
        <f t="shared" si="32"/>
        <v>35.200000000000003</v>
      </c>
      <c r="AH52" s="82">
        <f t="shared" si="70"/>
        <v>145.80000000000001</v>
      </c>
      <c r="AI52" s="41">
        <v>19957</v>
      </c>
      <c r="AJ52" s="41">
        <v>33979</v>
      </c>
      <c r="AK52" s="41">
        <v>36287</v>
      </c>
      <c r="AL52" s="43">
        <f t="shared" si="34"/>
        <v>90223</v>
      </c>
      <c r="AM52" s="81">
        <f t="shared" si="35"/>
        <v>299355</v>
      </c>
      <c r="AN52" s="81">
        <f t="shared" si="36"/>
        <v>20387.400000000001</v>
      </c>
      <c r="AO52" s="81">
        <f t="shared" si="37"/>
        <v>43544.400000000009</v>
      </c>
      <c r="AP52" s="82">
        <f t="shared" si="38"/>
        <v>363286.80000000005</v>
      </c>
      <c r="AQ52" s="41">
        <v>1265</v>
      </c>
      <c r="AR52" s="41">
        <v>1441</v>
      </c>
      <c r="AS52" s="41">
        <v>1827</v>
      </c>
      <c r="AT52" s="43">
        <f t="shared" si="39"/>
        <v>4533</v>
      </c>
      <c r="AU52" s="81">
        <f t="shared" si="40"/>
        <v>18975</v>
      </c>
      <c r="AV52" s="81">
        <f t="shared" si="41"/>
        <v>864.60000000000014</v>
      </c>
      <c r="AW52" s="81">
        <f t="shared" si="42"/>
        <v>2192.4000000000005</v>
      </c>
      <c r="AX52" s="82">
        <f t="shared" si="43"/>
        <v>22032</v>
      </c>
      <c r="AY52" s="81">
        <f t="shared" si="44"/>
        <v>318330</v>
      </c>
      <c r="AZ52" s="81">
        <f t="shared" si="45"/>
        <v>21252</v>
      </c>
      <c r="BA52" s="81">
        <f t="shared" si="46"/>
        <v>45736.80000000001</v>
      </c>
      <c r="BB52" s="82">
        <f t="shared" si="47"/>
        <v>385318.8</v>
      </c>
      <c r="BC52" s="82">
        <v>588927</v>
      </c>
      <c r="BD52" s="82">
        <f t="shared" si="48"/>
        <v>588927</v>
      </c>
      <c r="BE52" s="82" t="str">
        <f t="shared" si="49"/>
        <v/>
      </c>
      <c r="BF52" s="82">
        <f t="shared" si="50"/>
        <v>203608.2</v>
      </c>
      <c r="BG52" s="82">
        <f t="shared" si="51"/>
        <v>203608.2</v>
      </c>
      <c r="BH52" s="82" t="str">
        <f t="shared" si="52"/>
        <v/>
      </c>
      <c r="BI52" s="90">
        <f t="shared" si="53"/>
        <v>7.333333333333333</v>
      </c>
      <c r="BJ52" s="90">
        <f t="shared" si="54"/>
        <v>14.6</v>
      </c>
      <c r="BK52" s="90">
        <f t="shared" si="55"/>
        <v>17</v>
      </c>
      <c r="BL52" s="90">
        <f t="shared" si="56"/>
        <v>12.9</v>
      </c>
    </row>
    <row r="53" spans="1:64" s="59" customFormat="1">
      <c r="A53" s="38">
        <v>47</v>
      </c>
      <c r="B53" s="39" t="s">
        <v>63</v>
      </c>
      <c r="C53" s="40" t="s">
        <v>223</v>
      </c>
      <c r="D53" s="41">
        <v>40</v>
      </c>
      <c r="E53" s="42">
        <v>127</v>
      </c>
      <c r="F53" s="43">
        <v>29</v>
      </c>
      <c r="G53" s="43">
        <f t="shared" si="79"/>
        <v>196</v>
      </c>
      <c r="H53" s="45">
        <v>4</v>
      </c>
      <c r="I53" s="45">
        <v>7</v>
      </c>
      <c r="J53" s="45">
        <v>2</v>
      </c>
      <c r="K53" s="45">
        <f t="shared" si="63"/>
        <v>13</v>
      </c>
      <c r="L53" s="45">
        <v>1</v>
      </c>
      <c r="M53" s="45">
        <v>2</v>
      </c>
      <c r="N53" s="45"/>
      <c r="O53" s="45">
        <f t="shared" si="64"/>
        <v>3</v>
      </c>
      <c r="P53" s="45">
        <v>1</v>
      </c>
      <c r="Q53" s="45">
        <v>25</v>
      </c>
      <c r="R53" s="45">
        <v>18</v>
      </c>
      <c r="S53" s="41">
        <f t="shared" si="71"/>
        <v>56</v>
      </c>
      <c r="T53" s="41">
        <f t="shared" si="66"/>
        <v>98</v>
      </c>
      <c r="U53" s="41">
        <f t="shared" si="67"/>
        <v>28</v>
      </c>
      <c r="V53" s="43">
        <f t="shared" si="68"/>
        <v>182</v>
      </c>
      <c r="W53" s="41">
        <f t="shared" si="22"/>
        <v>16</v>
      </c>
      <c r="X53" s="41">
        <f t="shared" si="23"/>
        <v>-29</v>
      </c>
      <c r="Y53" s="41">
        <f t="shared" si="24"/>
        <v>-1</v>
      </c>
      <c r="Z53" s="43">
        <f t="shared" si="25"/>
        <v>-14</v>
      </c>
      <c r="AA53" s="81">
        <f t="shared" si="26"/>
        <v>12</v>
      </c>
      <c r="AB53" s="81">
        <f t="shared" si="27"/>
        <v>5.8000000000000007</v>
      </c>
      <c r="AC53" s="81">
        <f t="shared" si="28"/>
        <v>0.2</v>
      </c>
      <c r="AD53" s="82">
        <f t="shared" si="69"/>
        <v>18</v>
      </c>
      <c r="AE53" s="81">
        <f t="shared" si="30"/>
        <v>52</v>
      </c>
      <c r="AF53" s="81">
        <f t="shared" si="31"/>
        <v>132.80000000000001</v>
      </c>
      <c r="AG53" s="81">
        <f t="shared" si="32"/>
        <v>29.2</v>
      </c>
      <c r="AH53" s="82">
        <f t="shared" si="70"/>
        <v>214</v>
      </c>
      <c r="AI53" s="41">
        <v>19957</v>
      </c>
      <c r="AJ53" s="41">
        <v>33979</v>
      </c>
      <c r="AK53" s="41">
        <v>36287</v>
      </c>
      <c r="AL53" s="43">
        <f t="shared" si="34"/>
        <v>90223</v>
      </c>
      <c r="AM53" s="81">
        <f t="shared" si="35"/>
        <v>239484</v>
      </c>
      <c r="AN53" s="81">
        <f t="shared" si="36"/>
        <v>197078.2</v>
      </c>
      <c r="AO53" s="81">
        <f t="shared" si="37"/>
        <v>7257.4000000000005</v>
      </c>
      <c r="AP53" s="82">
        <f t="shared" si="38"/>
        <v>443819.60000000003</v>
      </c>
      <c r="AQ53" s="41">
        <v>1265</v>
      </c>
      <c r="AR53" s="41">
        <v>1441</v>
      </c>
      <c r="AS53" s="41">
        <v>1827</v>
      </c>
      <c r="AT53" s="43">
        <f t="shared" si="39"/>
        <v>4533</v>
      </c>
      <c r="AU53" s="81">
        <f t="shared" si="40"/>
        <v>15180</v>
      </c>
      <c r="AV53" s="81">
        <f t="shared" si="41"/>
        <v>8357.8000000000011</v>
      </c>
      <c r="AW53" s="81">
        <f t="shared" si="42"/>
        <v>365.40000000000003</v>
      </c>
      <c r="AX53" s="82">
        <f t="shared" si="43"/>
        <v>23903.200000000004</v>
      </c>
      <c r="AY53" s="81">
        <f t="shared" si="44"/>
        <v>254664</v>
      </c>
      <c r="AZ53" s="81">
        <f t="shared" si="45"/>
        <v>205436</v>
      </c>
      <c r="BA53" s="81">
        <f t="shared" si="46"/>
        <v>7622.8</v>
      </c>
      <c r="BB53" s="82">
        <f t="shared" si="47"/>
        <v>467722.8</v>
      </c>
      <c r="BC53" s="89">
        <v>1569031</v>
      </c>
      <c r="BD53" s="82">
        <f t="shared" si="48"/>
        <v>1569031</v>
      </c>
      <c r="BE53" s="82" t="str">
        <f t="shared" si="49"/>
        <v/>
      </c>
      <c r="BF53" s="82"/>
      <c r="BG53" s="82" t="str">
        <f t="shared" si="51"/>
        <v/>
      </c>
      <c r="BH53" s="82" t="str">
        <f t="shared" si="52"/>
        <v/>
      </c>
      <c r="BI53" s="90">
        <f t="shared" si="53"/>
        <v>10</v>
      </c>
      <c r="BJ53" s="90">
        <f t="shared" si="54"/>
        <v>18.142857142857142</v>
      </c>
      <c r="BK53" s="90">
        <f t="shared" si="55"/>
        <v>14.5</v>
      </c>
      <c r="BL53" s="90">
        <f t="shared" si="56"/>
        <v>15.076923076923077</v>
      </c>
    </row>
    <row r="54" spans="1:64" s="59" customFormat="1">
      <c r="A54" s="38">
        <v>48</v>
      </c>
      <c r="B54" s="39" t="s">
        <v>64</v>
      </c>
      <c r="C54" s="40" t="s">
        <v>224</v>
      </c>
      <c r="D54" s="41">
        <v>30</v>
      </c>
      <c r="E54" s="42">
        <v>109</v>
      </c>
      <c r="F54" s="43">
        <v>29</v>
      </c>
      <c r="G54" s="43">
        <f t="shared" si="79"/>
        <v>168</v>
      </c>
      <c r="H54" s="45">
        <v>4</v>
      </c>
      <c r="I54" s="45">
        <v>5</v>
      </c>
      <c r="J54" s="45">
        <v>2</v>
      </c>
      <c r="K54" s="45">
        <f t="shared" si="63"/>
        <v>11</v>
      </c>
      <c r="L54" s="45"/>
      <c r="M54" s="45"/>
      <c r="N54" s="45"/>
      <c r="O54" s="45">
        <f t="shared" si="64"/>
        <v>0</v>
      </c>
      <c r="P54" s="45">
        <v>1</v>
      </c>
      <c r="Q54" s="45">
        <v>29</v>
      </c>
      <c r="R54" s="45"/>
      <c r="S54" s="41">
        <f t="shared" si="71"/>
        <v>56</v>
      </c>
      <c r="T54" s="41">
        <f t="shared" si="66"/>
        <v>70</v>
      </c>
      <c r="U54" s="41">
        <f t="shared" si="67"/>
        <v>28</v>
      </c>
      <c r="V54" s="43">
        <f t="shared" si="68"/>
        <v>154</v>
      </c>
      <c r="W54" s="41">
        <f t="shared" si="22"/>
        <v>26</v>
      </c>
      <c r="X54" s="41">
        <f t="shared" si="23"/>
        <v>-39</v>
      </c>
      <c r="Y54" s="41">
        <f t="shared" si="24"/>
        <v>-1</v>
      </c>
      <c r="Z54" s="43">
        <f t="shared" si="25"/>
        <v>-14</v>
      </c>
      <c r="AA54" s="81">
        <f t="shared" si="26"/>
        <v>19.5</v>
      </c>
      <c r="AB54" s="81">
        <f t="shared" si="27"/>
        <v>7.8000000000000007</v>
      </c>
      <c r="AC54" s="81">
        <f t="shared" si="28"/>
        <v>0.2</v>
      </c>
      <c r="AD54" s="82">
        <f t="shared" si="69"/>
        <v>27.5</v>
      </c>
      <c r="AE54" s="81">
        <f t="shared" si="30"/>
        <v>49.5</v>
      </c>
      <c r="AF54" s="81">
        <f t="shared" si="31"/>
        <v>116.8</v>
      </c>
      <c r="AG54" s="81">
        <f t="shared" si="32"/>
        <v>29.2</v>
      </c>
      <c r="AH54" s="82">
        <f t="shared" si="70"/>
        <v>195.5</v>
      </c>
      <c r="AI54" s="41">
        <v>19957</v>
      </c>
      <c r="AJ54" s="41">
        <v>33979</v>
      </c>
      <c r="AK54" s="41">
        <v>36287</v>
      </c>
      <c r="AL54" s="43">
        <f t="shared" si="34"/>
        <v>90223</v>
      </c>
      <c r="AM54" s="81">
        <f t="shared" si="35"/>
        <v>389161.5</v>
      </c>
      <c r="AN54" s="81">
        <f t="shared" si="36"/>
        <v>265036.2</v>
      </c>
      <c r="AO54" s="81">
        <f t="shared" si="37"/>
        <v>7257.4000000000005</v>
      </c>
      <c r="AP54" s="82">
        <f t="shared" si="38"/>
        <v>661455.1</v>
      </c>
      <c r="AQ54" s="41">
        <v>1265</v>
      </c>
      <c r="AR54" s="41">
        <v>1441</v>
      </c>
      <c r="AS54" s="41">
        <v>1827</v>
      </c>
      <c r="AT54" s="43">
        <f t="shared" si="39"/>
        <v>4533</v>
      </c>
      <c r="AU54" s="81">
        <f t="shared" si="40"/>
        <v>24667.5</v>
      </c>
      <c r="AV54" s="81">
        <f t="shared" si="41"/>
        <v>11239.800000000001</v>
      </c>
      <c r="AW54" s="81">
        <f t="shared" si="42"/>
        <v>365.40000000000003</v>
      </c>
      <c r="AX54" s="82">
        <f t="shared" si="43"/>
        <v>36272.700000000004</v>
      </c>
      <c r="AY54" s="81">
        <f t="shared" si="44"/>
        <v>413829</v>
      </c>
      <c r="AZ54" s="81">
        <f t="shared" si="45"/>
        <v>276276</v>
      </c>
      <c r="BA54" s="81">
        <f t="shared" si="46"/>
        <v>7622.8</v>
      </c>
      <c r="BB54" s="82">
        <f t="shared" si="47"/>
        <v>697727.8</v>
      </c>
      <c r="BC54" s="82">
        <v>426614</v>
      </c>
      <c r="BD54" s="82">
        <f t="shared" si="48"/>
        <v>426614</v>
      </c>
      <c r="BE54" s="82" t="str">
        <f t="shared" si="49"/>
        <v/>
      </c>
      <c r="BF54" s="82">
        <f t="shared" si="50"/>
        <v>-271113.80000000005</v>
      </c>
      <c r="BG54" s="82" t="str">
        <f t="shared" si="51"/>
        <v/>
      </c>
      <c r="BH54" s="82">
        <f t="shared" si="52"/>
        <v>-271113.80000000005</v>
      </c>
      <c r="BI54" s="90">
        <f t="shared" si="53"/>
        <v>7.5</v>
      </c>
      <c r="BJ54" s="90">
        <f t="shared" si="54"/>
        <v>21.8</v>
      </c>
      <c r="BK54" s="90">
        <f t="shared" si="55"/>
        <v>14.5</v>
      </c>
      <c r="BL54" s="90">
        <f t="shared" si="56"/>
        <v>15.272727272727273</v>
      </c>
    </row>
    <row r="55" spans="1:64" s="59" customFormat="1">
      <c r="A55" s="38">
        <v>49</v>
      </c>
      <c r="B55" s="39" t="s">
        <v>65</v>
      </c>
      <c r="C55" s="40" t="s">
        <v>225</v>
      </c>
      <c r="D55" s="41">
        <v>19</v>
      </c>
      <c r="E55" s="42">
        <v>91</v>
      </c>
      <c r="F55" s="43">
        <v>38</v>
      </c>
      <c r="G55" s="43">
        <f t="shared" si="79"/>
        <v>148</v>
      </c>
      <c r="H55" s="45">
        <v>4</v>
      </c>
      <c r="I55" s="45">
        <v>5</v>
      </c>
      <c r="J55" s="45">
        <v>2</v>
      </c>
      <c r="K55" s="45">
        <f t="shared" si="63"/>
        <v>11</v>
      </c>
      <c r="L55" s="45"/>
      <c r="M55" s="45"/>
      <c r="N55" s="45"/>
      <c r="O55" s="45">
        <f t="shared" si="64"/>
        <v>0</v>
      </c>
      <c r="P55" s="45">
        <v>1</v>
      </c>
      <c r="Q55" s="45">
        <v>25</v>
      </c>
      <c r="R55" s="45"/>
      <c r="S55" s="41">
        <f t="shared" si="71"/>
        <v>56</v>
      </c>
      <c r="T55" s="41">
        <f t="shared" si="66"/>
        <v>70</v>
      </c>
      <c r="U55" s="41">
        <f t="shared" si="67"/>
        <v>28</v>
      </c>
      <c r="V55" s="43">
        <f t="shared" si="68"/>
        <v>154</v>
      </c>
      <c r="W55" s="41">
        <f t="shared" si="22"/>
        <v>37</v>
      </c>
      <c r="X55" s="41">
        <f t="shared" si="23"/>
        <v>-21</v>
      </c>
      <c r="Y55" s="41">
        <f t="shared" si="24"/>
        <v>-10</v>
      </c>
      <c r="Z55" s="43">
        <f t="shared" si="25"/>
        <v>6</v>
      </c>
      <c r="AA55" s="81">
        <f t="shared" si="26"/>
        <v>27.75</v>
      </c>
      <c r="AB55" s="81">
        <f t="shared" si="27"/>
        <v>4.2</v>
      </c>
      <c r="AC55" s="81">
        <f t="shared" si="28"/>
        <v>2</v>
      </c>
      <c r="AD55" s="82">
        <f t="shared" si="69"/>
        <v>33.950000000000003</v>
      </c>
      <c r="AE55" s="81">
        <f t="shared" si="30"/>
        <v>46.75</v>
      </c>
      <c r="AF55" s="81">
        <f t="shared" si="31"/>
        <v>95.2</v>
      </c>
      <c r="AG55" s="81">
        <f t="shared" si="32"/>
        <v>40</v>
      </c>
      <c r="AH55" s="82">
        <f t="shared" si="70"/>
        <v>181.95</v>
      </c>
      <c r="AI55" s="41">
        <v>19957</v>
      </c>
      <c r="AJ55" s="41">
        <v>33979</v>
      </c>
      <c r="AK55" s="41">
        <v>36287</v>
      </c>
      <c r="AL55" s="43">
        <f t="shared" si="34"/>
        <v>90223</v>
      </c>
      <c r="AM55" s="81">
        <f t="shared" si="35"/>
        <v>553806.75</v>
      </c>
      <c r="AN55" s="81">
        <f t="shared" si="36"/>
        <v>142711.80000000002</v>
      </c>
      <c r="AO55" s="81">
        <f t="shared" si="37"/>
        <v>72574</v>
      </c>
      <c r="AP55" s="82">
        <f t="shared" si="38"/>
        <v>769092.55</v>
      </c>
      <c r="AQ55" s="41">
        <v>1265</v>
      </c>
      <c r="AR55" s="41">
        <v>1441</v>
      </c>
      <c r="AS55" s="41">
        <v>1827</v>
      </c>
      <c r="AT55" s="43">
        <f t="shared" si="39"/>
        <v>4533</v>
      </c>
      <c r="AU55" s="81">
        <f t="shared" si="40"/>
        <v>35103.75</v>
      </c>
      <c r="AV55" s="81">
        <f t="shared" si="41"/>
        <v>6052.2</v>
      </c>
      <c r="AW55" s="81">
        <f t="shared" si="42"/>
        <v>3654</v>
      </c>
      <c r="AX55" s="82">
        <f t="shared" si="43"/>
        <v>44809.95</v>
      </c>
      <c r="AY55" s="81">
        <f t="shared" si="44"/>
        <v>588910.5</v>
      </c>
      <c r="AZ55" s="81">
        <f t="shared" si="45"/>
        <v>148764.00000000003</v>
      </c>
      <c r="BA55" s="81">
        <f t="shared" si="46"/>
        <v>76228</v>
      </c>
      <c r="BB55" s="82">
        <f t="shared" si="47"/>
        <v>813902.5</v>
      </c>
      <c r="BC55" s="82">
        <v>1223394</v>
      </c>
      <c r="BD55" s="82">
        <f t="shared" si="48"/>
        <v>1223394</v>
      </c>
      <c r="BE55" s="82" t="str">
        <f t="shared" si="49"/>
        <v/>
      </c>
      <c r="BF55" s="82">
        <f t="shared" si="50"/>
        <v>409491.5</v>
      </c>
      <c r="BG55" s="82">
        <f t="shared" si="51"/>
        <v>409491.5</v>
      </c>
      <c r="BH55" s="82" t="str">
        <f t="shared" si="52"/>
        <v/>
      </c>
      <c r="BI55" s="90">
        <f t="shared" si="53"/>
        <v>4.75</v>
      </c>
      <c r="BJ55" s="90">
        <f t="shared" si="54"/>
        <v>18.2</v>
      </c>
      <c r="BK55" s="90">
        <f t="shared" si="55"/>
        <v>19</v>
      </c>
      <c r="BL55" s="90">
        <f t="shared" si="56"/>
        <v>13.454545454545455</v>
      </c>
    </row>
    <row r="56" spans="1:64" s="59" customFormat="1">
      <c r="A56" s="38">
        <v>50</v>
      </c>
      <c r="B56" s="39" t="s">
        <v>30</v>
      </c>
      <c r="C56" s="40" t="s">
        <v>226</v>
      </c>
      <c r="D56" s="41">
        <v>10</v>
      </c>
      <c r="E56" s="42"/>
      <c r="F56" s="43"/>
      <c r="G56" s="43">
        <f t="shared" si="79"/>
        <v>10</v>
      </c>
      <c r="H56" s="45">
        <v>2</v>
      </c>
      <c r="I56" s="45"/>
      <c r="J56" s="45"/>
      <c r="K56" s="45">
        <f t="shared" si="63"/>
        <v>2</v>
      </c>
      <c r="L56" s="45"/>
      <c r="M56" s="45"/>
      <c r="N56" s="45"/>
      <c r="O56" s="45">
        <f t="shared" si="64"/>
        <v>0</v>
      </c>
      <c r="P56" s="45"/>
      <c r="Q56" s="45"/>
      <c r="R56" s="45"/>
      <c r="S56" s="87">
        <f t="shared" ref="S56" si="81">G56</f>
        <v>10</v>
      </c>
      <c r="T56" s="41">
        <f t="shared" si="66"/>
        <v>0</v>
      </c>
      <c r="U56" s="41">
        <f t="shared" si="67"/>
        <v>0</v>
      </c>
      <c r="V56" s="43">
        <f t="shared" si="68"/>
        <v>10</v>
      </c>
      <c r="W56" s="41">
        <f t="shared" si="22"/>
        <v>0</v>
      </c>
      <c r="X56" s="41">
        <f t="shared" si="23"/>
        <v>0</v>
      </c>
      <c r="Y56" s="41">
        <f t="shared" si="24"/>
        <v>0</v>
      </c>
      <c r="Z56" s="43">
        <f t="shared" si="25"/>
        <v>0</v>
      </c>
      <c r="AA56" s="81">
        <f t="shared" si="26"/>
        <v>0</v>
      </c>
      <c r="AB56" s="81">
        <f t="shared" si="27"/>
        <v>0</v>
      </c>
      <c r="AC56" s="81">
        <f t="shared" si="28"/>
        <v>0</v>
      </c>
      <c r="AD56" s="82">
        <f t="shared" si="69"/>
        <v>0</v>
      </c>
      <c r="AE56" s="81">
        <f t="shared" si="30"/>
        <v>10</v>
      </c>
      <c r="AF56" s="81">
        <f t="shared" si="31"/>
        <v>0</v>
      </c>
      <c r="AG56" s="81">
        <f t="shared" si="32"/>
        <v>0</v>
      </c>
      <c r="AH56" s="82">
        <f t="shared" si="70"/>
        <v>10</v>
      </c>
      <c r="AI56" s="41">
        <v>19957</v>
      </c>
      <c r="AJ56" s="41">
        <v>33979</v>
      </c>
      <c r="AK56" s="41">
        <v>36287</v>
      </c>
      <c r="AL56" s="43">
        <f t="shared" si="34"/>
        <v>90223</v>
      </c>
      <c r="AM56" s="81">
        <f t="shared" si="35"/>
        <v>0</v>
      </c>
      <c r="AN56" s="81">
        <f t="shared" si="36"/>
        <v>0</v>
      </c>
      <c r="AO56" s="81">
        <f t="shared" si="37"/>
        <v>0</v>
      </c>
      <c r="AP56" s="82">
        <f t="shared" si="38"/>
        <v>0</v>
      </c>
      <c r="AQ56" s="41">
        <v>1265</v>
      </c>
      <c r="AR56" s="41">
        <v>1441</v>
      </c>
      <c r="AS56" s="41">
        <v>1827</v>
      </c>
      <c r="AT56" s="43">
        <f t="shared" si="39"/>
        <v>4533</v>
      </c>
      <c r="AU56" s="81">
        <f t="shared" si="40"/>
        <v>0</v>
      </c>
      <c r="AV56" s="81">
        <f t="shared" si="41"/>
        <v>0</v>
      </c>
      <c r="AW56" s="81">
        <f t="shared" si="42"/>
        <v>0</v>
      </c>
      <c r="AX56" s="82">
        <f t="shared" si="43"/>
        <v>0</v>
      </c>
      <c r="AY56" s="81">
        <f t="shared" si="44"/>
        <v>0</v>
      </c>
      <c r="AZ56" s="81">
        <f t="shared" si="45"/>
        <v>0</v>
      </c>
      <c r="BA56" s="81">
        <f t="shared" si="46"/>
        <v>0</v>
      </c>
      <c r="BB56" s="82">
        <f t="shared" si="47"/>
        <v>0</v>
      </c>
      <c r="BC56" s="82">
        <v>48398</v>
      </c>
      <c r="BD56" s="82">
        <f t="shared" si="48"/>
        <v>48398</v>
      </c>
      <c r="BE56" s="82" t="str">
        <f t="shared" si="49"/>
        <v/>
      </c>
      <c r="BF56" s="82">
        <f t="shared" si="50"/>
        <v>48398</v>
      </c>
      <c r="BG56" s="82">
        <f t="shared" si="51"/>
        <v>48398</v>
      </c>
      <c r="BH56" s="82" t="str">
        <f t="shared" si="52"/>
        <v/>
      </c>
      <c r="BI56" s="90">
        <f t="shared" si="53"/>
        <v>5</v>
      </c>
      <c r="BJ56" s="90" t="str">
        <f t="shared" si="54"/>
        <v/>
      </c>
      <c r="BK56" s="90" t="str">
        <f t="shared" si="55"/>
        <v/>
      </c>
      <c r="BL56" s="90">
        <f t="shared" si="56"/>
        <v>5</v>
      </c>
    </row>
    <row r="57" spans="1:64" s="59" customFormat="1">
      <c r="A57" s="38">
        <v>51</v>
      </c>
      <c r="B57" s="39" t="s">
        <v>67</v>
      </c>
      <c r="C57" s="40" t="s">
        <v>227</v>
      </c>
      <c r="D57" s="41">
        <v>19</v>
      </c>
      <c r="E57" s="42">
        <v>62</v>
      </c>
      <c r="F57" s="43">
        <v>29</v>
      </c>
      <c r="G57" s="43">
        <f t="shared" si="79"/>
        <v>110</v>
      </c>
      <c r="H57" s="45">
        <v>2</v>
      </c>
      <c r="I57" s="45">
        <v>5</v>
      </c>
      <c r="J57" s="45">
        <v>2</v>
      </c>
      <c r="K57" s="45">
        <f t="shared" si="63"/>
        <v>9</v>
      </c>
      <c r="L57" s="45"/>
      <c r="M57" s="45"/>
      <c r="N57" s="45"/>
      <c r="O57" s="45">
        <f t="shared" si="64"/>
        <v>0</v>
      </c>
      <c r="P57" s="45"/>
      <c r="Q57" s="45"/>
      <c r="R57" s="45"/>
      <c r="S57" s="41">
        <f t="shared" si="71"/>
        <v>28</v>
      </c>
      <c r="T57" s="41">
        <f t="shared" si="66"/>
        <v>70</v>
      </c>
      <c r="U57" s="41">
        <f t="shared" si="67"/>
        <v>28</v>
      </c>
      <c r="V57" s="43">
        <f t="shared" si="68"/>
        <v>126</v>
      </c>
      <c r="W57" s="41">
        <f t="shared" si="22"/>
        <v>9</v>
      </c>
      <c r="X57" s="41">
        <f t="shared" si="23"/>
        <v>8</v>
      </c>
      <c r="Y57" s="41">
        <f t="shared" si="24"/>
        <v>-1</v>
      </c>
      <c r="Z57" s="43">
        <f t="shared" si="25"/>
        <v>16</v>
      </c>
      <c r="AA57" s="81">
        <f t="shared" si="26"/>
        <v>6.75</v>
      </c>
      <c r="AB57" s="81">
        <f t="shared" si="27"/>
        <v>6</v>
      </c>
      <c r="AC57" s="81">
        <f t="shared" si="28"/>
        <v>0.2</v>
      </c>
      <c r="AD57" s="82">
        <f t="shared" si="69"/>
        <v>12.95</v>
      </c>
      <c r="AE57" s="81">
        <f t="shared" si="30"/>
        <v>25.75</v>
      </c>
      <c r="AF57" s="81">
        <f t="shared" si="31"/>
        <v>68</v>
      </c>
      <c r="AG57" s="81">
        <f t="shared" si="32"/>
        <v>29.2</v>
      </c>
      <c r="AH57" s="82">
        <f t="shared" si="70"/>
        <v>122.95</v>
      </c>
      <c r="AI57" s="41">
        <v>19957</v>
      </c>
      <c r="AJ57" s="41">
        <v>33979</v>
      </c>
      <c r="AK57" s="41">
        <v>36287</v>
      </c>
      <c r="AL57" s="43">
        <f t="shared" si="34"/>
        <v>90223</v>
      </c>
      <c r="AM57" s="81">
        <f t="shared" si="35"/>
        <v>134709.75</v>
      </c>
      <c r="AN57" s="81">
        <f t="shared" si="36"/>
        <v>203874</v>
      </c>
      <c r="AO57" s="81">
        <f t="shared" si="37"/>
        <v>7257.4000000000005</v>
      </c>
      <c r="AP57" s="82">
        <f t="shared" si="38"/>
        <v>345841.15</v>
      </c>
      <c r="AQ57" s="41">
        <v>1265</v>
      </c>
      <c r="AR57" s="41">
        <v>1441</v>
      </c>
      <c r="AS57" s="41">
        <v>1827</v>
      </c>
      <c r="AT57" s="43">
        <f t="shared" si="39"/>
        <v>4533</v>
      </c>
      <c r="AU57" s="81">
        <f t="shared" si="40"/>
        <v>8538.75</v>
      </c>
      <c r="AV57" s="81">
        <f t="shared" si="41"/>
        <v>8646</v>
      </c>
      <c r="AW57" s="81">
        <f t="shared" si="42"/>
        <v>365.40000000000003</v>
      </c>
      <c r="AX57" s="82">
        <f t="shared" si="43"/>
        <v>17550.150000000001</v>
      </c>
      <c r="AY57" s="81">
        <f t="shared" si="44"/>
        <v>143248.5</v>
      </c>
      <c r="AZ57" s="81">
        <f t="shared" si="45"/>
        <v>212520</v>
      </c>
      <c r="BA57" s="81">
        <f t="shared" si="46"/>
        <v>7622.8</v>
      </c>
      <c r="BB57" s="82">
        <f t="shared" si="47"/>
        <v>363391.3</v>
      </c>
      <c r="BC57" s="82">
        <v>1328066</v>
      </c>
      <c r="BD57" s="82">
        <f t="shared" si="48"/>
        <v>1328066</v>
      </c>
      <c r="BE57" s="82" t="str">
        <f t="shared" si="49"/>
        <v/>
      </c>
      <c r="BF57" s="82">
        <f t="shared" si="50"/>
        <v>964674.7</v>
      </c>
      <c r="BG57" s="82">
        <f t="shared" si="51"/>
        <v>964674.7</v>
      </c>
      <c r="BH57" s="82" t="str">
        <f t="shared" si="52"/>
        <v/>
      </c>
      <c r="BI57" s="90">
        <f t="shared" si="53"/>
        <v>9.5</v>
      </c>
      <c r="BJ57" s="90">
        <f t="shared" si="54"/>
        <v>12.4</v>
      </c>
      <c r="BK57" s="90">
        <f t="shared" si="55"/>
        <v>14.5</v>
      </c>
      <c r="BL57" s="90">
        <f t="shared" si="56"/>
        <v>12.222222222222221</v>
      </c>
    </row>
    <row r="58" spans="1:64" s="59" customFormat="1">
      <c r="A58" s="38">
        <v>52</v>
      </c>
      <c r="B58" s="39" t="s">
        <v>66</v>
      </c>
      <c r="C58" s="40" t="s">
        <v>228</v>
      </c>
      <c r="D58" s="41">
        <v>16</v>
      </c>
      <c r="E58" s="42">
        <v>47</v>
      </c>
      <c r="F58" s="43">
        <v>28</v>
      </c>
      <c r="G58" s="43">
        <f t="shared" si="79"/>
        <v>91</v>
      </c>
      <c r="H58" s="45">
        <v>2</v>
      </c>
      <c r="I58" s="45">
        <v>5</v>
      </c>
      <c r="J58" s="45">
        <v>2</v>
      </c>
      <c r="K58" s="45">
        <f t="shared" si="63"/>
        <v>9</v>
      </c>
      <c r="L58" s="45"/>
      <c r="M58" s="45"/>
      <c r="N58" s="45">
        <v>1</v>
      </c>
      <c r="O58" s="45">
        <f t="shared" si="64"/>
        <v>1</v>
      </c>
      <c r="P58" s="45"/>
      <c r="Q58" s="45"/>
      <c r="R58" s="45"/>
      <c r="S58" s="41">
        <f t="shared" si="71"/>
        <v>28</v>
      </c>
      <c r="T58" s="41">
        <f t="shared" si="66"/>
        <v>70</v>
      </c>
      <c r="U58" s="41">
        <f t="shared" si="67"/>
        <v>28</v>
      </c>
      <c r="V58" s="43">
        <f t="shared" si="68"/>
        <v>126</v>
      </c>
      <c r="W58" s="41">
        <f t="shared" si="22"/>
        <v>12</v>
      </c>
      <c r="X58" s="41">
        <f t="shared" si="23"/>
        <v>23</v>
      </c>
      <c r="Y58" s="41">
        <f t="shared" si="24"/>
        <v>0</v>
      </c>
      <c r="Z58" s="43">
        <f t="shared" si="25"/>
        <v>35</v>
      </c>
      <c r="AA58" s="81">
        <f t="shared" si="26"/>
        <v>9</v>
      </c>
      <c r="AB58" s="81">
        <f t="shared" si="27"/>
        <v>17.25</v>
      </c>
      <c r="AC58" s="81">
        <f t="shared" si="28"/>
        <v>0</v>
      </c>
      <c r="AD58" s="82">
        <f t="shared" si="69"/>
        <v>26.25</v>
      </c>
      <c r="AE58" s="81">
        <f t="shared" si="30"/>
        <v>25</v>
      </c>
      <c r="AF58" s="81">
        <f t="shared" si="31"/>
        <v>64.25</v>
      </c>
      <c r="AG58" s="81">
        <f t="shared" si="32"/>
        <v>28</v>
      </c>
      <c r="AH58" s="82">
        <f t="shared" si="70"/>
        <v>117.25</v>
      </c>
      <c r="AI58" s="41">
        <v>19957</v>
      </c>
      <c r="AJ58" s="41">
        <v>33979</v>
      </c>
      <c r="AK58" s="41">
        <v>36287</v>
      </c>
      <c r="AL58" s="43">
        <f t="shared" si="34"/>
        <v>90223</v>
      </c>
      <c r="AM58" s="81">
        <f t="shared" si="35"/>
        <v>179613</v>
      </c>
      <c r="AN58" s="81">
        <f t="shared" si="36"/>
        <v>586137.75</v>
      </c>
      <c r="AO58" s="81">
        <f t="shared" si="37"/>
        <v>0</v>
      </c>
      <c r="AP58" s="82">
        <f t="shared" si="38"/>
        <v>765750.75</v>
      </c>
      <c r="AQ58" s="41">
        <v>1265</v>
      </c>
      <c r="AR58" s="41">
        <v>1441</v>
      </c>
      <c r="AS58" s="41">
        <v>1827</v>
      </c>
      <c r="AT58" s="43">
        <f t="shared" si="39"/>
        <v>4533</v>
      </c>
      <c r="AU58" s="81">
        <f t="shared" si="40"/>
        <v>11385</v>
      </c>
      <c r="AV58" s="81">
        <f t="shared" si="41"/>
        <v>24857.25</v>
      </c>
      <c r="AW58" s="81">
        <f t="shared" si="42"/>
        <v>0</v>
      </c>
      <c r="AX58" s="82">
        <f t="shared" si="43"/>
        <v>36242.25</v>
      </c>
      <c r="AY58" s="81">
        <f t="shared" si="44"/>
        <v>190998</v>
      </c>
      <c r="AZ58" s="81">
        <f t="shared" si="45"/>
        <v>610995</v>
      </c>
      <c r="BA58" s="81">
        <f t="shared" si="46"/>
        <v>0</v>
      </c>
      <c r="BB58" s="82">
        <f t="shared" si="47"/>
        <v>801993</v>
      </c>
      <c r="BC58" s="82">
        <v>715205</v>
      </c>
      <c r="BD58" s="82">
        <f t="shared" si="48"/>
        <v>715205</v>
      </c>
      <c r="BE58" s="82" t="str">
        <f t="shared" si="49"/>
        <v/>
      </c>
      <c r="BF58" s="82">
        <f t="shared" si="50"/>
        <v>-86788</v>
      </c>
      <c r="BG58" s="82" t="str">
        <f t="shared" si="51"/>
        <v/>
      </c>
      <c r="BH58" s="82">
        <f t="shared" si="52"/>
        <v>-86788</v>
      </c>
      <c r="BI58" s="90">
        <f t="shared" si="53"/>
        <v>8</v>
      </c>
      <c r="BJ58" s="90">
        <f t="shared" si="54"/>
        <v>9.4</v>
      </c>
      <c r="BK58" s="90">
        <f t="shared" si="55"/>
        <v>14</v>
      </c>
      <c r="BL58" s="90">
        <f t="shared" si="56"/>
        <v>10.111111111111111</v>
      </c>
    </row>
    <row r="59" spans="1:64" s="59" customFormat="1">
      <c r="A59" s="38">
        <v>53</v>
      </c>
      <c r="B59" s="39" t="s">
        <v>31</v>
      </c>
      <c r="C59" s="40" t="s">
        <v>229</v>
      </c>
      <c r="D59" s="41">
        <v>5</v>
      </c>
      <c r="E59" s="42"/>
      <c r="F59" s="43"/>
      <c r="G59" s="43">
        <f t="shared" si="79"/>
        <v>5</v>
      </c>
      <c r="H59" s="45">
        <v>2</v>
      </c>
      <c r="I59" s="45"/>
      <c r="J59" s="45"/>
      <c r="K59" s="45">
        <f t="shared" si="63"/>
        <v>2</v>
      </c>
      <c r="L59" s="45"/>
      <c r="M59" s="45"/>
      <c r="N59" s="45"/>
      <c r="O59" s="45">
        <f t="shared" si="64"/>
        <v>0</v>
      </c>
      <c r="P59" s="45"/>
      <c r="Q59" s="45"/>
      <c r="R59" s="45"/>
      <c r="S59" s="87">
        <f t="shared" ref="S59" si="82">G59</f>
        <v>5</v>
      </c>
      <c r="T59" s="41">
        <f t="shared" si="66"/>
        <v>0</v>
      </c>
      <c r="U59" s="41">
        <f t="shared" si="67"/>
        <v>0</v>
      </c>
      <c r="V59" s="43">
        <f t="shared" ref="V59:V83" si="83">S59+T59+U59</f>
        <v>5</v>
      </c>
      <c r="W59" s="41">
        <f t="shared" si="22"/>
        <v>0</v>
      </c>
      <c r="X59" s="41">
        <f t="shared" si="23"/>
        <v>0</v>
      </c>
      <c r="Y59" s="41">
        <f t="shared" si="24"/>
        <v>0</v>
      </c>
      <c r="Z59" s="43">
        <f t="shared" si="25"/>
        <v>0</v>
      </c>
      <c r="AA59" s="81">
        <f t="shared" si="26"/>
        <v>0</v>
      </c>
      <c r="AB59" s="81">
        <f t="shared" si="27"/>
        <v>0</v>
      </c>
      <c r="AC59" s="81">
        <f t="shared" si="28"/>
        <v>0</v>
      </c>
      <c r="AD59" s="82">
        <f t="shared" ref="AD59:AD83" si="84">AA59+AB59+AC59</f>
        <v>0</v>
      </c>
      <c r="AE59" s="81">
        <f t="shared" si="30"/>
        <v>5</v>
      </c>
      <c r="AF59" s="81">
        <f t="shared" si="31"/>
        <v>0</v>
      </c>
      <c r="AG59" s="81">
        <f t="shared" si="32"/>
        <v>0</v>
      </c>
      <c r="AH59" s="82">
        <f t="shared" ref="AH59:AH83" si="85">AE59+AF59+AG59</f>
        <v>5</v>
      </c>
      <c r="AI59" s="41">
        <v>19957</v>
      </c>
      <c r="AJ59" s="41">
        <v>33979</v>
      </c>
      <c r="AK59" s="41">
        <v>36287</v>
      </c>
      <c r="AL59" s="43">
        <f t="shared" si="34"/>
        <v>90223</v>
      </c>
      <c r="AM59" s="81">
        <f t="shared" si="35"/>
        <v>0</v>
      </c>
      <c r="AN59" s="81">
        <f t="shared" si="36"/>
        <v>0</v>
      </c>
      <c r="AO59" s="81">
        <f t="shared" si="37"/>
        <v>0</v>
      </c>
      <c r="AP59" s="82">
        <f t="shared" si="38"/>
        <v>0</v>
      </c>
      <c r="AQ59" s="41">
        <v>1265</v>
      </c>
      <c r="AR59" s="41">
        <v>1441</v>
      </c>
      <c r="AS59" s="41">
        <v>1827</v>
      </c>
      <c r="AT59" s="43">
        <f t="shared" si="39"/>
        <v>4533</v>
      </c>
      <c r="AU59" s="81">
        <f t="shared" si="40"/>
        <v>0</v>
      </c>
      <c r="AV59" s="81">
        <f t="shared" si="41"/>
        <v>0</v>
      </c>
      <c r="AW59" s="81">
        <f t="shared" si="42"/>
        <v>0</v>
      </c>
      <c r="AX59" s="82">
        <f t="shared" si="43"/>
        <v>0</v>
      </c>
      <c r="AY59" s="81">
        <f t="shared" si="44"/>
        <v>0</v>
      </c>
      <c r="AZ59" s="81">
        <f t="shared" si="45"/>
        <v>0</v>
      </c>
      <c r="BA59" s="81">
        <f t="shared" si="46"/>
        <v>0</v>
      </c>
      <c r="BB59" s="82">
        <f t="shared" si="47"/>
        <v>0</v>
      </c>
      <c r="BC59" s="82">
        <v>-40851</v>
      </c>
      <c r="BD59" s="82" t="str">
        <f t="shared" si="48"/>
        <v/>
      </c>
      <c r="BE59" s="82">
        <f t="shared" si="49"/>
        <v>-40851</v>
      </c>
      <c r="BF59" s="82">
        <f t="shared" si="50"/>
        <v>-40851</v>
      </c>
      <c r="BG59" s="82" t="str">
        <f t="shared" si="51"/>
        <v/>
      </c>
      <c r="BH59" s="82">
        <f t="shared" si="52"/>
        <v>-40851</v>
      </c>
      <c r="BI59" s="90">
        <f t="shared" si="53"/>
        <v>2.5</v>
      </c>
      <c r="BJ59" s="90" t="str">
        <f t="shared" si="54"/>
        <v/>
      </c>
      <c r="BK59" s="90" t="str">
        <f t="shared" si="55"/>
        <v/>
      </c>
      <c r="BL59" s="90">
        <f t="shared" si="56"/>
        <v>2.5</v>
      </c>
    </row>
    <row r="60" spans="1:64" s="59" customFormat="1">
      <c r="A60" s="38">
        <v>54</v>
      </c>
      <c r="B60" s="39" t="s">
        <v>68</v>
      </c>
      <c r="C60" s="40" t="s">
        <v>230</v>
      </c>
      <c r="D60" s="41">
        <v>32</v>
      </c>
      <c r="E60" s="42">
        <v>48</v>
      </c>
      <c r="F60" s="43">
        <v>15</v>
      </c>
      <c r="G60" s="43">
        <f t="shared" si="79"/>
        <v>95</v>
      </c>
      <c r="H60" s="45">
        <v>3</v>
      </c>
      <c r="I60" s="45">
        <v>5</v>
      </c>
      <c r="J60" s="45">
        <v>2</v>
      </c>
      <c r="K60" s="45">
        <f t="shared" si="63"/>
        <v>10</v>
      </c>
      <c r="L60" s="45"/>
      <c r="M60" s="45"/>
      <c r="N60" s="45"/>
      <c r="O60" s="45">
        <f t="shared" si="64"/>
        <v>0</v>
      </c>
      <c r="P60" s="45">
        <v>1</v>
      </c>
      <c r="Q60" s="45">
        <v>26</v>
      </c>
      <c r="R60" s="45"/>
      <c r="S60" s="41">
        <f t="shared" si="71"/>
        <v>42</v>
      </c>
      <c r="T60" s="41">
        <f t="shared" si="66"/>
        <v>70</v>
      </c>
      <c r="U60" s="41">
        <f t="shared" si="67"/>
        <v>28</v>
      </c>
      <c r="V60" s="43">
        <f t="shared" si="83"/>
        <v>140</v>
      </c>
      <c r="W60" s="41">
        <f t="shared" si="22"/>
        <v>10</v>
      </c>
      <c r="X60" s="41">
        <f t="shared" si="23"/>
        <v>22</v>
      </c>
      <c r="Y60" s="41">
        <f t="shared" si="24"/>
        <v>13</v>
      </c>
      <c r="Z60" s="43">
        <f t="shared" si="25"/>
        <v>45</v>
      </c>
      <c r="AA60" s="81">
        <f t="shared" si="26"/>
        <v>7.5</v>
      </c>
      <c r="AB60" s="81">
        <f t="shared" si="27"/>
        <v>16.5</v>
      </c>
      <c r="AC60" s="81">
        <f t="shared" si="28"/>
        <v>9.75</v>
      </c>
      <c r="AD60" s="82">
        <f t="shared" si="84"/>
        <v>33.75</v>
      </c>
      <c r="AE60" s="81">
        <f t="shared" si="30"/>
        <v>39.5</v>
      </c>
      <c r="AF60" s="81">
        <f t="shared" si="31"/>
        <v>64.5</v>
      </c>
      <c r="AG60" s="81">
        <f t="shared" si="32"/>
        <v>24.75</v>
      </c>
      <c r="AH60" s="82">
        <f t="shared" si="85"/>
        <v>128.75</v>
      </c>
      <c r="AI60" s="41">
        <v>19957</v>
      </c>
      <c r="AJ60" s="41">
        <v>33979</v>
      </c>
      <c r="AK60" s="41">
        <v>36287</v>
      </c>
      <c r="AL60" s="43">
        <f t="shared" si="34"/>
        <v>90223</v>
      </c>
      <c r="AM60" s="81">
        <f t="shared" si="35"/>
        <v>149677.5</v>
      </c>
      <c r="AN60" s="81">
        <f t="shared" si="36"/>
        <v>560653.5</v>
      </c>
      <c r="AO60" s="81">
        <f t="shared" si="37"/>
        <v>353798.25</v>
      </c>
      <c r="AP60" s="82">
        <f t="shared" si="38"/>
        <v>1064129.25</v>
      </c>
      <c r="AQ60" s="41">
        <v>1265</v>
      </c>
      <c r="AR60" s="41">
        <v>1441</v>
      </c>
      <c r="AS60" s="41">
        <v>1827</v>
      </c>
      <c r="AT60" s="43">
        <f t="shared" si="39"/>
        <v>4533</v>
      </c>
      <c r="AU60" s="81">
        <f t="shared" si="40"/>
        <v>9487.5</v>
      </c>
      <c r="AV60" s="81">
        <f t="shared" si="41"/>
        <v>23776.5</v>
      </c>
      <c r="AW60" s="81">
        <f t="shared" si="42"/>
        <v>17813.25</v>
      </c>
      <c r="AX60" s="82">
        <f t="shared" si="43"/>
        <v>51077.25</v>
      </c>
      <c r="AY60" s="81">
        <f t="shared" si="44"/>
        <v>159165</v>
      </c>
      <c r="AZ60" s="81">
        <f t="shared" si="45"/>
        <v>584430</v>
      </c>
      <c r="BA60" s="81">
        <f t="shared" si="46"/>
        <v>371611.5</v>
      </c>
      <c r="BB60" s="82">
        <f t="shared" si="47"/>
        <v>1115206.5</v>
      </c>
      <c r="BC60" s="82">
        <v>1215118</v>
      </c>
      <c r="BD60" s="82">
        <f t="shared" si="48"/>
        <v>1215118</v>
      </c>
      <c r="BE60" s="82" t="str">
        <f t="shared" si="49"/>
        <v/>
      </c>
      <c r="BF60" s="82">
        <f t="shared" si="50"/>
        <v>99911.5</v>
      </c>
      <c r="BG60" s="82">
        <f t="shared" si="51"/>
        <v>99911.5</v>
      </c>
      <c r="BH60" s="82" t="str">
        <f t="shared" si="52"/>
        <v/>
      </c>
      <c r="BI60" s="90">
        <f t="shared" si="53"/>
        <v>10.666666666666666</v>
      </c>
      <c r="BJ60" s="90">
        <f t="shared" si="54"/>
        <v>9.6</v>
      </c>
      <c r="BK60" s="90">
        <f t="shared" si="55"/>
        <v>7.5</v>
      </c>
      <c r="BL60" s="90">
        <f t="shared" si="56"/>
        <v>9.5</v>
      </c>
    </row>
    <row r="61" spans="1:64" s="59" customFormat="1">
      <c r="A61" s="38">
        <v>55</v>
      </c>
      <c r="B61" s="39" t="s">
        <v>32</v>
      </c>
      <c r="C61" s="40" t="s">
        <v>231</v>
      </c>
      <c r="D61" s="41">
        <v>6</v>
      </c>
      <c r="E61" s="42"/>
      <c r="F61" s="43"/>
      <c r="G61" s="43">
        <f t="shared" si="79"/>
        <v>6</v>
      </c>
      <c r="H61" s="45">
        <v>2</v>
      </c>
      <c r="I61" s="45"/>
      <c r="J61" s="45"/>
      <c r="K61" s="45">
        <f t="shared" si="63"/>
        <v>2</v>
      </c>
      <c r="L61" s="45"/>
      <c r="M61" s="45"/>
      <c r="N61" s="45"/>
      <c r="O61" s="45">
        <f t="shared" si="64"/>
        <v>0</v>
      </c>
      <c r="P61" s="45"/>
      <c r="Q61" s="45"/>
      <c r="R61" s="45"/>
      <c r="S61" s="87">
        <f t="shared" ref="S61" si="86">G61</f>
        <v>6</v>
      </c>
      <c r="T61" s="41">
        <f t="shared" si="66"/>
        <v>0</v>
      </c>
      <c r="U61" s="41">
        <f t="shared" si="67"/>
        <v>0</v>
      </c>
      <c r="V61" s="43">
        <f t="shared" si="83"/>
        <v>6</v>
      </c>
      <c r="W61" s="41">
        <f t="shared" si="22"/>
        <v>0</v>
      </c>
      <c r="X61" s="41">
        <f t="shared" si="23"/>
        <v>0</v>
      </c>
      <c r="Y61" s="41">
        <f t="shared" si="24"/>
        <v>0</v>
      </c>
      <c r="Z61" s="43">
        <f t="shared" si="25"/>
        <v>0</v>
      </c>
      <c r="AA61" s="81">
        <f t="shared" si="26"/>
        <v>0</v>
      </c>
      <c r="AB61" s="81">
        <f t="shared" si="27"/>
        <v>0</v>
      </c>
      <c r="AC61" s="81">
        <f t="shared" si="28"/>
        <v>0</v>
      </c>
      <c r="AD61" s="82">
        <f t="shared" si="84"/>
        <v>0</v>
      </c>
      <c r="AE61" s="81">
        <f t="shared" si="30"/>
        <v>6</v>
      </c>
      <c r="AF61" s="81">
        <f t="shared" si="31"/>
        <v>0</v>
      </c>
      <c r="AG61" s="81">
        <f t="shared" si="32"/>
        <v>0</v>
      </c>
      <c r="AH61" s="82">
        <f t="shared" si="85"/>
        <v>6</v>
      </c>
      <c r="AI61" s="41">
        <v>19957</v>
      </c>
      <c r="AJ61" s="41">
        <v>33979</v>
      </c>
      <c r="AK61" s="41">
        <v>36287</v>
      </c>
      <c r="AL61" s="43">
        <f t="shared" si="34"/>
        <v>90223</v>
      </c>
      <c r="AM61" s="81">
        <f t="shared" si="35"/>
        <v>0</v>
      </c>
      <c r="AN61" s="81">
        <f t="shared" si="36"/>
        <v>0</v>
      </c>
      <c r="AO61" s="81">
        <f t="shared" si="37"/>
        <v>0</v>
      </c>
      <c r="AP61" s="82">
        <f t="shared" si="38"/>
        <v>0</v>
      </c>
      <c r="AQ61" s="41">
        <v>1265</v>
      </c>
      <c r="AR61" s="41">
        <v>1441</v>
      </c>
      <c r="AS61" s="41">
        <v>1827</v>
      </c>
      <c r="AT61" s="43">
        <f t="shared" si="39"/>
        <v>4533</v>
      </c>
      <c r="AU61" s="81">
        <f t="shared" si="40"/>
        <v>0</v>
      </c>
      <c r="AV61" s="81">
        <f t="shared" si="41"/>
        <v>0</v>
      </c>
      <c r="AW61" s="81">
        <f t="shared" si="42"/>
        <v>0</v>
      </c>
      <c r="AX61" s="82">
        <f t="shared" si="43"/>
        <v>0</v>
      </c>
      <c r="AY61" s="81">
        <f t="shared" si="44"/>
        <v>0</v>
      </c>
      <c r="AZ61" s="81">
        <f t="shared" si="45"/>
        <v>0</v>
      </c>
      <c r="BA61" s="81">
        <f t="shared" si="46"/>
        <v>0</v>
      </c>
      <c r="BB61" s="82">
        <f t="shared" si="47"/>
        <v>0</v>
      </c>
      <c r="BC61" s="82">
        <v>19998</v>
      </c>
      <c r="BD61" s="82">
        <f t="shared" si="48"/>
        <v>19998</v>
      </c>
      <c r="BE61" s="82" t="str">
        <f t="shared" si="49"/>
        <v/>
      </c>
      <c r="BF61" s="82">
        <f t="shared" si="50"/>
        <v>19998</v>
      </c>
      <c r="BG61" s="82">
        <f t="shared" si="51"/>
        <v>19998</v>
      </c>
      <c r="BH61" s="82" t="str">
        <f t="shared" si="52"/>
        <v/>
      </c>
      <c r="BI61" s="90">
        <f t="shared" si="53"/>
        <v>3</v>
      </c>
      <c r="BJ61" s="90" t="str">
        <f t="shared" si="54"/>
        <v/>
      </c>
      <c r="BK61" s="90" t="str">
        <f t="shared" si="55"/>
        <v/>
      </c>
      <c r="BL61" s="90">
        <f t="shared" si="56"/>
        <v>3</v>
      </c>
    </row>
    <row r="62" spans="1:64" s="59" customFormat="1">
      <c r="A62" s="38">
        <v>56</v>
      </c>
      <c r="B62" s="39" t="s">
        <v>72</v>
      </c>
      <c r="C62" s="40" t="s">
        <v>232</v>
      </c>
      <c r="D62" s="41">
        <v>124</v>
      </c>
      <c r="E62" s="42">
        <v>165</v>
      </c>
      <c r="F62" s="43">
        <v>42</v>
      </c>
      <c r="G62" s="43">
        <f t="shared" si="79"/>
        <v>331</v>
      </c>
      <c r="H62" s="45">
        <v>8</v>
      </c>
      <c r="I62" s="45">
        <v>9</v>
      </c>
      <c r="J62" s="45">
        <v>3</v>
      </c>
      <c r="K62" s="45">
        <f t="shared" si="63"/>
        <v>20</v>
      </c>
      <c r="L62" s="45"/>
      <c r="M62" s="45">
        <v>2</v>
      </c>
      <c r="N62" s="45">
        <v>1</v>
      </c>
      <c r="O62" s="45">
        <f t="shared" si="64"/>
        <v>3</v>
      </c>
      <c r="P62" s="45">
        <v>3</v>
      </c>
      <c r="Q62" s="45">
        <v>75</v>
      </c>
      <c r="R62" s="45"/>
      <c r="S62" s="41">
        <f t="shared" si="71"/>
        <v>112</v>
      </c>
      <c r="T62" s="41">
        <f t="shared" si="66"/>
        <v>126</v>
      </c>
      <c r="U62" s="41">
        <f t="shared" si="67"/>
        <v>42</v>
      </c>
      <c r="V62" s="43">
        <f t="shared" si="83"/>
        <v>280</v>
      </c>
      <c r="W62" s="41">
        <f t="shared" si="22"/>
        <v>-12</v>
      </c>
      <c r="X62" s="41">
        <f t="shared" si="23"/>
        <v>-39</v>
      </c>
      <c r="Y62" s="41">
        <f t="shared" si="24"/>
        <v>0</v>
      </c>
      <c r="Z62" s="43">
        <f t="shared" si="25"/>
        <v>-51</v>
      </c>
      <c r="AA62" s="81">
        <f t="shared" si="26"/>
        <v>2.4000000000000004</v>
      </c>
      <c r="AB62" s="81">
        <f t="shared" si="27"/>
        <v>7.8000000000000007</v>
      </c>
      <c r="AC62" s="81">
        <f t="shared" si="28"/>
        <v>0</v>
      </c>
      <c r="AD62" s="82">
        <f t="shared" si="84"/>
        <v>10.200000000000001</v>
      </c>
      <c r="AE62" s="81">
        <f t="shared" si="30"/>
        <v>126.4</v>
      </c>
      <c r="AF62" s="81">
        <f t="shared" si="31"/>
        <v>172.8</v>
      </c>
      <c r="AG62" s="81">
        <f t="shared" si="32"/>
        <v>42</v>
      </c>
      <c r="AH62" s="82">
        <f t="shared" si="85"/>
        <v>341.20000000000005</v>
      </c>
      <c r="AI62" s="41">
        <v>19957</v>
      </c>
      <c r="AJ62" s="41">
        <v>33979</v>
      </c>
      <c r="AK62" s="41">
        <v>36287</v>
      </c>
      <c r="AL62" s="43">
        <f t="shared" si="34"/>
        <v>90223</v>
      </c>
      <c r="AM62" s="81">
        <f t="shared" si="35"/>
        <v>47896.80000000001</v>
      </c>
      <c r="AN62" s="81">
        <f t="shared" si="36"/>
        <v>265036.2</v>
      </c>
      <c r="AO62" s="81">
        <f t="shared" si="37"/>
        <v>0</v>
      </c>
      <c r="AP62" s="82">
        <f t="shared" si="38"/>
        <v>312933</v>
      </c>
      <c r="AQ62" s="41">
        <v>1265</v>
      </c>
      <c r="AR62" s="41">
        <v>1441</v>
      </c>
      <c r="AS62" s="41">
        <v>1827</v>
      </c>
      <c r="AT62" s="43">
        <f t="shared" si="39"/>
        <v>4533</v>
      </c>
      <c r="AU62" s="81">
        <f t="shared" si="40"/>
        <v>3036.0000000000005</v>
      </c>
      <c r="AV62" s="81">
        <f t="shared" si="41"/>
        <v>11239.800000000001</v>
      </c>
      <c r="AW62" s="81">
        <f t="shared" si="42"/>
        <v>0</v>
      </c>
      <c r="AX62" s="82">
        <f t="shared" si="43"/>
        <v>14275.800000000001</v>
      </c>
      <c r="AY62" s="81">
        <f t="shared" si="44"/>
        <v>50932.80000000001</v>
      </c>
      <c r="AZ62" s="81">
        <f t="shared" si="45"/>
        <v>276276</v>
      </c>
      <c r="BA62" s="81">
        <f t="shared" si="46"/>
        <v>0</v>
      </c>
      <c r="BB62" s="82">
        <f t="shared" si="47"/>
        <v>327208.8</v>
      </c>
      <c r="BC62" s="82">
        <v>1076677</v>
      </c>
      <c r="BD62" s="82">
        <f t="shared" si="48"/>
        <v>1076677</v>
      </c>
      <c r="BE62" s="82" t="str">
        <f t="shared" si="49"/>
        <v/>
      </c>
      <c r="BF62" s="82">
        <f t="shared" si="50"/>
        <v>749468.2</v>
      </c>
      <c r="BG62" s="82">
        <f t="shared" si="51"/>
        <v>749468.2</v>
      </c>
      <c r="BH62" s="82" t="str">
        <f t="shared" si="52"/>
        <v/>
      </c>
      <c r="BI62" s="90">
        <f t="shared" si="53"/>
        <v>15.5</v>
      </c>
      <c r="BJ62" s="90">
        <f t="shared" si="54"/>
        <v>18.333333333333332</v>
      </c>
      <c r="BK62" s="90">
        <f t="shared" si="55"/>
        <v>14</v>
      </c>
      <c r="BL62" s="90">
        <f t="shared" si="56"/>
        <v>16.55</v>
      </c>
    </row>
    <row r="63" spans="1:64" s="59" customFormat="1" ht="15.75" customHeight="1">
      <c r="A63" s="38">
        <v>57</v>
      </c>
      <c r="B63" s="39" t="s">
        <v>33</v>
      </c>
      <c r="C63" s="40" t="s">
        <v>233</v>
      </c>
      <c r="D63" s="41">
        <v>8</v>
      </c>
      <c r="E63" s="42"/>
      <c r="F63" s="43"/>
      <c r="G63" s="43">
        <f t="shared" si="79"/>
        <v>8</v>
      </c>
      <c r="H63" s="45">
        <v>1</v>
      </c>
      <c r="I63" s="45"/>
      <c r="J63" s="45"/>
      <c r="K63" s="45">
        <f t="shared" si="63"/>
        <v>1</v>
      </c>
      <c r="L63" s="45"/>
      <c r="M63" s="45"/>
      <c r="N63" s="45"/>
      <c r="O63" s="45">
        <f t="shared" si="64"/>
        <v>0</v>
      </c>
      <c r="P63" s="45"/>
      <c r="Q63" s="45"/>
      <c r="R63" s="45"/>
      <c r="S63" s="87">
        <f t="shared" ref="S63:S64" si="87">G63</f>
        <v>8</v>
      </c>
      <c r="T63" s="41">
        <f t="shared" si="66"/>
        <v>0</v>
      </c>
      <c r="U63" s="41">
        <f t="shared" si="67"/>
        <v>0</v>
      </c>
      <c r="V63" s="43">
        <f t="shared" si="83"/>
        <v>8</v>
      </c>
      <c r="W63" s="41">
        <f t="shared" si="22"/>
        <v>0</v>
      </c>
      <c r="X63" s="41">
        <f t="shared" si="23"/>
        <v>0</v>
      </c>
      <c r="Y63" s="41">
        <f t="shared" si="24"/>
        <v>0</v>
      </c>
      <c r="Z63" s="43">
        <f t="shared" si="25"/>
        <v>0</v>
      </c>
      <c r="AA63" s="81">
        <f t="shared" si="26"/>
        <v>0</v>
      </c>
      <c r="AB63" s="81">
        <f t="shared" si="27"/>
        <v>0</v>
      </c>
      <c r="AC63" s="81">
        <f t="shared" si="28"/>
        <v>0</v>
      </c>
      <c r="AD63" s="82">
        <f t="shared" si="84"/>
        <v>0</v>
      </c>
      <c r="AE63" s="81">
        <f t="shared" si="30"/>
        <v>8</v>
      </c>
      <c r="AF63" s="81">
        <f t="shared" si="31"/>
        <v>0</v>
      </c>
      <c r="AG63" s="81">
        <f t="shared" si="32"/>
        <v>0</v>
      </c>
      <c r="AH63" s="82">
        <f t="shared" si="85"/>
        <v>8</v>
      </c>
      <c r="AI63" s="41">
        <v>19957</v>
      </c>
      <c r="AJ63" s="41">
        <v>33979</v>
      </c>
      <c r="AK63" s="41">
        <v>36287</v>
      </c>
      <c r="AL63" s="43">
        <f t="shared" si="34"/>
        <v>90223</v>
      </c>
      <c r="AM63" s="81">
        <f t="shared" si="35"/>
        <v>0</v>
      </c>
      <c r="AN63" s="81">
        <f t="shared" si="36"/>
        <v>0</v>
      </c>
      <c r="AO63" s="81">
        <f t="shared" si="37"/>
        <v>0</v>
      </c>
      <c r="AP63" s="82">
        <f t="shared" si="38"/>
        <v>0</v>
      </c>
      <c r="AQ63" s="41">
        <v>1265</v>
      </c>
      <c r="AR63" s="41">
        <v>1441</v>
      </c>
      <c r="AS63" s="41">
        <v>1827</v>
      </c>
      <c r="AT63" s="43">
        <f t="shared" si="39"/>
        <v>4533</v>
      </c>
      <c r="AU63" s="81">
        <f t="shared" si="40"/>
        <v>0</v>
      </c>
      <c r="AV63" s="81">
        <f t="shared" si="41"/>
        <v>0</v>
      </c>
      <c r="AW63" s="81">
        <f t="shared" si="42"/>
        <v>0</v>
      </c>
      <c r="AX63" s="82">
        <f t="shared" si="43"/>
        <v>0</v>
      </c>
      <c r="AY63" s="81">
        <f t="shared" si="44"/>
        <v>0</v>
      </c>
      <c r="AZ63" s="81">
        <f t="shared" si="45"/>
        <v>0</v>
      </c>
      <c r="BA63" s="81">
        <f t="shared" si="46"/>
        <v>0</v>
      </c>
      <c r="BB63" s="82">
        <f t="shared" si="47"/>
        <v>0</v>
      </c>
      <c r="BC63" s="82">
        <v>32798</v>
      </c>
      <c r="BD63" s="82">
        <f t="shared" si="48"/>
        <v>32798</v>
      </c>
      <c r="BE63" s="82" t="str">
        <f t="shared" si="49"/>
        <v/>
      </c>
      <c r="BF63" s="82">
        <f t="shared" si="50"/>
        <v>32798</v>
      </c>
      <c r="BG63" s="82">
        <f t="shared" si="51"/>
        <v>32798</v>
      </c>
      <c r="BH63" s="82" t="str">
        <f t="shared" si="52"/>
        <v/>
      </c>
      <c r="BI63" s="90">
        <f t="shared" si="53"/>
        <v>8</v>
      </c>
      <c r="BJ63" s="90" t="str">
        <f t="shared" si="54"/>
        <v/>
      </c>
      <c r="BK63" s="90" t="str">
        <f t="shared" si="55"/>
        <v/>
      </c>
      <c r="BL63" s="90">
        <f t="shared" si="56"/>
        <v>8</v>
      </c>
    </row>
    <row r="64" spans="1:64" s="59" customFormat="1">
      <c r="A64" s="38">
        <v>58</v>
      </c>
      <c r="B64" s="39" t="s">
        <v>34</v>
      </c>
      <c r="C64" s="40" t="s">
        <v>234</v>
      </c>
      <c r="D64" s="41">
        <v>4</v>
      </c>
      <c r="E64" s="42"/>
      <c r="F64" s="43"/>
      <c r="G64" s="43">
        <f t="shared" si="79"/>
        <v>4</v>
      </c>
      <c r="H64" s="45">
        <v>1</v>
      </c>
      <c r="I64" s="45"/>
      <c r="J64" s="45"/>
      <c r="K64" s="45">
        <f t="shared" si="63"/>
        <v>1</v>
      </c>
      <c r="L64" s="45"/>
      <c r="M64" s="45"/>
      <c r="N64" s="45"/>
      <c r="O64" s="45">
        <f t="shared" si="64"/>
        <v>0</v>
      </c>
      <c r="P64" s="45"/>
      <c r="Q64" s="45"/>
      <c r="R64" s="45"/>
      <c r="S64" s="87">
        <f t="shared" si="87"/>
        <v>4</v>
      </c>
      <c r="T64" s="41">
        <f t="shared" si="66"/>
        <v>0</v>
      </c>
      <c r="U64" s="41">
        <f t="shared" si="67"/>
        <v>0</v>
      </c>
      <c r="V64" s="43">
        <f t="shared" si="83"/>
        <v>4</v>
      </c>
      <c r="W64" s="41">
        <f t="shared" si="22"/>
        <v>0</v>
      </c>
      <c r="X64" s="41">
        <f t="shared" si="23"/>
        <v>0</v>
      </c>
      <c r="Y64" s="41">
        <f t="shared" si="24"/>
        <v>0</v>
      </c>
      <c r="Z64" s="43">
        <f t="shared" si="25"/>
        <v>0</v>
      </c>
      <c r="AA64" s="81">
        <f t="shared" si="26"/>
        <v>0</v>
      </c>
      <c r="AB64" s="81">
        <f t="shared" si="27"/>
        <v>0</v>
      </c>
      <c r="AC64" s="81">
        <f t="shared" si="28"/>
        <v>0</v>
      </c>
      <c r="AD64" s="82">
        <f t="shared" si="84"/>
        <v>0</v>
      </c>
      <c r="AE64" s="81">
        <f t="shared" si="30"/>
        <v>4</v>
      </c>
      <c r="AF64" s="81">
        <f t="shared" si="31"/>
        <v>0</v>
      </c>
      <c r="AG64" s="81">
        <f t="shared" si="32"/>
        <v>0</v>
      </c>
      <c r="AH64" s="82">
        <f t="shared" si="85"/>
        <v>4</v>
      </c>
      <c r="AI64" s="41">
        <v>19957</v>
      </c>
      <c r="AJ64" s="41">
        <v>33979</v>
      </c>
      <c r="AK64" s="41">
        <v>36287</v>
      </c>
      <c r="AL64" s="43">
        <f t="shared" si="34"/>
        <v>90223</v>
      </c>
      <c r="AM64" s="81">
        <f t="shared" si="35"/>
        <v>0</v>
      </c>
      <c r="AN64" s="81">
        <f t="shared" si="36"/>
        <v>0</v>
      </c>
      <c r="AO64" s="81">
        <f t="shared" si="37"/>
        <v>0</v>
      </c>
      <c r="AP64" s="82">
        <f t="shared" si="38"/>
        <v>0</v>
      </c>
      <c r="AQ64" s="41">
        <v>1265</v>
      </c>
      <c r="AR64" s="41">
        <v>1441</v>
      </c>
      <c r="AS64" s="41">
        <v>1827</v>
      </c>
      <c r="AT64" s="43">
        <f t="shared" si="39"/>
        <v>4533</v>
      </c>
      <c r="AU64" s="81">
        <f t="shared" si="40"/>
        <v>0</v>
      </c>
      <c r="AV64" s="81">
        <f t="shared" si="41"/>
        <v>0</v>
      </c>
      <c r="AW64" s="81">
        <f t="shared" si="42"/>
        <v>0</v>
      </c>
      <c r="AX64" s="82">
        <f t="shared" si="43"/>
        <v>0</v>
      </c>
      <c r="AY64" s="81">
        <f t="shared" si="44"/>
        <v>0</v>
      </c>
      <c r="AZ64" s="81">
        <f t="shared" si="45"/>
        <v>0</v>
      </c>
      <c r="BA64" s="81">
        <f t="shared" si="46"/>
        <v>0</v>
      </c>
      <c r="BB64" s="82">
        <f t="shared" si="47"/>
        <v>0</v>
      </c>
      <c r="BC64" s="82">
        <v>17749</v>
      </c>
      <c r="BD64" s="82">
        <f t="shared" si="48"/>
        <v>17749</v>
      </c>
      <c r="BE64" s="82" t="str">
        <f t="shared" si="49"/>
        <v/>
      </c>
      <c r="BF64" s="82">
        <f t="shared" si="50"/>
        <v>17749</v>
      </c>
      <c r="BG64" s="82">
        <f t="shared" si="51"/>
        <v>17749</v>
      </c>
      <c r="BH64" s="82" t="str">
        <f t="shared" si="52"/>
        <v/>
      </c>
      <c r="BI64" s="90">
        <f t="shared" si="53"/>
        <v>4</v>
      </c>
      <c r="BJ64" s="90" t="str">
        <f t="shared" si="54"/>
        <v/>
      </c>
      <c r="BK64" s="90" t="str">
        <f t="shared" si="55"/>
        <v/>
      </c>
      <c r="BL64" s="90">
        <f t="shared" si="56"/>
        <v>4</v>
      </c>
    </row>
    <row r="65" spans="1:64" s="59" customFormat="1">
      <c r="A65" s="38">
        <v>59</v>
      </c>
      <c r="B65" s="39" t="s">
        <v>69</v>
      </c>
      <c r="C65" s="40" t="s">
        <v>235</v>
      </c>
      <c r="D65" s="41">
        <v>16</v>
      </c>
      <c r="E65" s="42">
        <v>92</v>
      </c>
      <c r="F65" s="43">
        <v>30</v>
      </c>
      <c r="G65" s="43">
        <f t="shared" si="79"/>
        <v>138</v>
      </c>
      <c r="H65" s="45">
        <v>2</v>
      </c>
      <c r="I65" s="45">
        <v>5</v>
      </c>
      <c r="J65" s="45">
        <v>2</v>
      </c>
      <c r="K65" s="45">
        <f t="shared" si="63"/>
        <v>9</v>
      </c>
      <c r="L65" s="45"/>
      <c r="M65" s="45"/>
      <c r="N65" s="45"/>
      <c r="O65" s="45">
        <f t="shared" si="64"/>
        <v>0</v>
      </c>
      <c r="P65" s="45">
        <v>1</v>
      </c>
      <c r="Q65" s="45">
        <v>25</v>
      </c>
      <c r="R65" s="45"/>
      <c r="S65" s="41">
        <f t="shared" si="71"/>
        <v>28</v>
      </c>
      <c r="T65" s="41">
        <f t="shared" si="66"/>
        <v>70</v>
      </c>
      <c r="U65" s="41">
        <f t="shared" si="67"/>
        <v>28</v>
      </c>
      <c r="V65" s="43">
        <f t="shared" si="83"/>
        <v>126</v>
      </c>
      <c r="W65" s="41">
        <f t="shared" si="22"/>
        <v>12</v>
      </c>
      <c r="X65" s="41">
        <f t="shared" si="23"/>
        <v>-22</v>
      </c>
      <c r="Y65" s="41">
        <f t="shared" si="24"/>
        <v>-2</v>
      </c>
      <c r="Z65" s="43">
        <f t="shared" si="25"/>
        <v>-12</v>
      </c>
      <c r="AA65" s="81">
        <f t="shared" si="26"/>
        <v>9</v>
      </c>
      <c r="AB65" s="81">
        <f t="shared" si="27"/>
        <v>4.4000000000000004</v>
      </c>
      <c r="AC65" s="81">
        <f t="shared" si="28"/>
        <v>0.4</v>
      </c>
      <c r="AD65" s="82">
        <f t="shared" si="84"/>
        <v>13.8</v>
      </c>
      <c r="AE65" s="81">
        <f t="shared" si="30"/>
        <v>25</v>
      </c>
      <c r="AF65" s="81">
        <f t="shared" si="31"/>
        <v>96.4</v>
      </c>
      <c r="AG65" s="81">
        <f t="shared" si="32"/>
        <v>30.4</v>
      </c>
      <c r="AH65" s="82">
        <f t="shared" si="85"/>
        <v>151.80000000000001</v>
      </c>
      <c r="AI65" s="41">
        <v>19957</v>
      </c>
      <c r="AJ65" s="41">
        <v>33979</v>
      </c>
      <c r="AK65" s="41">
        <v>36287</v>
      </c>
      <c r="AL65" s="43">
        <f t="shared" si="34"/>
        <v>90223</v>
      </c>
      <c r="AM65" s="81">
        <f t="shared" si="35"/>
        <v>179613</v>
      </c>
      <c r="AN65" s="81">
        <f t="shared" si="36"/>
        <v>149507.6</v>
      </c>
      <c r="AO65" s="81">
        <f t="shared" si="37"/>
        <v>14514.800000000001</v>
      </c>
      <c r="AP65" s="82">
        <f t="shared" si="38"/>
        <v>343635.39999999997</v>
      </c>
      <c r="AQ65" s="41">
        <v>1265</v>
      </c>
      <c r="AR65" s="41">
        <v>1441</v>
      </c>
      <c r="AS65" s="41">
        <v>1827</v>
      </c>
      <c r="AT65" s="43">
        <f t="shared" si="39"/>
        <v>4533</v>
      </c>
      <c r="AU65" s="81">
        <f t="shared" si="40"/>
        <v>11385</v>
      </c>
      <c r="AV65" s="81">
        <f t="shared" si="41"/>
        <v>6340.4000000000005</v>
      </c>
      <c r="AW65" s="81">
        <f t="shared" si="42"/>
        <v>730.80000000000007</v>
      </c>
      <c r="AX65" s="82">
        <f t="shared" si="43"/>
        <v>18456.2</v>
      </c>
      <c r="AY65" s="81">
        <f t="shared" si="44"/>
        <v>190998</v>
      </c>
      <c r="AZ65" s="81">
        <f t="shared" si="45"/>
        <v>155848</v>
      </c>
      <c r="BA65" s="81">
        <f t="shared" si="46"/>
        <v>15245.6</v>
      </c>
      <c r="BB65" s="82">
        <f t="shared" si="47"/>
        <v>362091.6</v>
      </c>
      <c r="BC65" s="82">
        <v>993754</v>
      </c>
      <c r="BD65" s="82">
        <f t="shared" si="48"/>
        <v>993754</v>
      </c>
      <c r="BE65" s="82" t="str">
        <f t="shared" si="49"/>
        <v/>
      </c>
      <c r="BF65" s="82">
        <f t="shared" si="50"/>
        <v>631662.4</v>
      </c>
      <c r="BG65" s="82">
        <f t="shared" si="51"/>
        <v>631662.4</v>
      </c>
      <c r="BH65" s="82" t="str">
        <f t="shared" si="52"/>
        <v/>
      </c>
      <c r="BI65" s="90">
        <f t="shared" si="53"/>
        <v>8</v>
      </c>
      <c r="BJ65" s="90">
        <f t="shared" si="54"/>
        <v>18.399999999999999</v>
      </c>
      <c r="BK65" s="90">
        <f t="shared" si="55"/>
        <v>15</v>
      </c>
      <c r="BL65" s="90">
        <f t="shared" si="56"/>
        <v>15.333333333333334</v>
      </c>
    </row>
    <row r="66" spans="1:64" s="59" customFormat="1">
      <c r="A66" s="38">
        <v>60</v>
      </c>
      <c r="B66" s="39" t="s">
        <v>70</v>
      </c>
      <c r="C66" s="40" t="s">
        <v>236</v>
      </c>
      <c r="D66" s="41">
        <v>27</v>
      </c>
      <c r="E66" s="42">
        <v>92</v>
      </c>
      <c r="F66" s="43">
        <v>31</v>
      </c>
      <c r="G66" s="43">
        <f t="shared" si="79"/>
        <v>150</v>
      </c>
      <c r="H66" s="45">
        <v>4</v>
      </c>
      <c r="I66" s="45">
        <v>6</v>
      </c>
      <c r="J66" s="45">
        <v>2</v>
      </c>
      <c r="K66" s="45">
        <f t="shared" si="63"/>
        <v>12</v>
      </c>
      <c r="L66" s="45"/>
      <c r="M66" s="45"/>
      <c r="N66" s="45"/>
      <c r="O66" s="45">
        <f t="shared" si="64"/>
        <v>0</v>
      </c>
      <c r="P66" s="45">
        <v>1</v>
      </c>
      <c r="Q66" s="45">
        <v>27</v>
      </c>
      <c r="R66" s="45"/>
      <c r="S66" s="41">
        <f t="shared" si="71"/>
        <v>56</v>
      </c>
      <c r="T66" s="41">
        <f t="shared" si="66"/>
        <v>84</v>
      </c>
      <c r="U66" s="41">
        <f t="shared" si="67"/>
        <v>28</v>
      </c>
      <c r="V66" s="43">
        <f t="shared" si="83"/>
        <v>168</v>
      </c>
      <c r="W66" s="41">
        <f t="shared" si="22"/>
        <v>29</v>
      </c>
      <c r="X66" s="41">
        <f t="shared" si="23"/>
        <v>-8</v>
      </c>
      <c r="Y66" s="41">
        <f t="shared" si="24"/>
        <v>-3</v>
      </c>
      <c r="Z66" s="43">
        <f t="shared" si="25"/>
        <v>18</v>
      </c>
      <c r="AA66" s="81">
        <f t="shared" si="26"/>
        <v>21.75</v>
      </c>
      <c r="AB66" s="81">
        <f t="shared" si="27"/>
        <v>1.6</v>
      </c>
      <c r="AC66" s="81">
        <f t="shared" si="28"/>
        <v>0.60000000000000009</v>
      </c>
      <c r="AD66" s="82">
        <f t="shared" si="84"/>
        <v>23.950000000000003</v>
      </c>
      <c r="AE66" s="81">
        <f t="shared" si="30"/>
        <v>48.75</v>
      </c>
      <c r="AF66" s="81">
        <f t="shared" si="31"/>
        <v>93.6</v>
      </c>
      <c r="AG66" s="81">
        <f t="shared" si="32"/>
        <v>31.6</v>
      </c>
      <c r="AH66" s="82">
        <f t="shared" si="85"/>
        <v>173.95</v>
      </c>
      <c r="AI66" s="41">
        <v>19957</v>
      </c>
      <c r="AJ66" s="41">
        <v>33979</v>
      </c>
      <c r="AK66" s="41">
        <v>36287</v>
      </c>
      <c r="AL66" s="43">
        <f t="shared" si="34"/>
        <v>90223</v>
      </c>
      <c r="AM66" s="81">
        <f t="shared" si="35"/>
        <v>434064.75</v>
      </c>
      <c r="AN66" s="81">
        <f t="shared" si="36"/>
        <v>54366.400000000001</v>
      </c>
      <c r="AO66" s="81">
        <f t="shared" si="37"/>
        <v>21772.200000000004</v>
      </c>
      <c r="AP66" s="82">
        <f t="shared" si="38"/>
        <v>510203.35000000003</v>
      </c>
      <c r="AQ66" s="41">
        <v>1265</v>
      </c>
      <c r="AR66" s="41">
        <v>1441</v>
      </c>
      <c r="AS66" s="41">
        <v>1827</v>
      </c>
      <c r="AT66" s="43">
        <f t="shared" si="39"/>
        <v>4533</v>
      </c>
      <c r="AU66" s="81">
        <f t="shared" si="40"/>
        <v>27513.75</v>
      </c>
      <c r="AV66" s="81">
        <f t="shared" si="41"/>
        <v>2305.6</v>
      </c>
      <c r="AW66" s="81">
        <f t="shared" si="42"/>
        <v>1096.2000000000003</v>
      </c>
      <c r="AX66" s="82">
        <f t="shared" si="43"/>
        <v>30915.55</v>
      </c>
      <c r="AY66" s="81">
        <f t="shared" si="44"/>
        <v>461578.5</v>
      </c>
      <c r="AZ66" s="81">
        <f t="shared" si="45"/>
        <v>56672</v>
      </c>
      <c r="BA66" s="81">
        <f t="shared" si="46"/>
        <v>22868.400000000005</v>
      </c>
      <c r="BB66" s="82">
        <f t="shared" si="47"/>
        <v>541118.9</v>
      </c>
      <c r="BC66" s="82">
        <v>713080</v>
      </c>
      <c r="BD66" s="82">
        <f t="shared" si="48"/>
        <v>713080</v>
      </c>
      <c r="BE66" s="82" t="str">
        <f t="shared" si="49"/>
        <v/>
      </c>
      <c r="BF66" s="82">
        <f t="shared" si="50"/>
        <v>171961.09999999998</v>
      </c>
      <c r="BG66" s="82">
        <f t="shared" si="51"/>
        <v>171961.09999999998</v>
      </c>
      <c r="BH66" s="82" t="str">
        <f t="shared" si="52"/>
        <v/>
      </c>
      <c r="BI66" s="90">
        <f t="shared" si="53"/>
        <v>6.75</v>
      </c>
      <c r="BJ66" s="90">
        <f t="shared" si="54"/>
        <v>15.333333333333334</v>
      </c>
      <c r="BK66" s="90">
        <f t="shared" si="55"/>
        <v>15.5</v>
      </c>
      <c r="BL66" s="90">
        <f t="shared" si="56"/>
        <v>12.5</v>
      </c>
    </row>
    <row r="67" spans="1:64" s="59" customFormat="1">
      <c r="A67" s="38">
        <v>61</v>
      </c>
      <c r="B67" s="39" t="s">
        <v>71</v>
      </c>
      <c r="C67" s="40" t="s">
        <v>237</v>
      </c>
      <c r="D67" s="41">
        <v>12</v>
      </c>
      <c r="E67" s="42">
        <v>75</v>
      </c>
      <c r="F67" s="43">
        <v>33</v>
      </c>
      <c r="G67" s="43">
        <f t="shared" si="79"/>
        <v>120</v>
      </c>
      <c r="H67" s="45">
        <v>2</v>
      </c>
      <c r="I67" s="45">
        <v>5</v>
      </c>
      <c r="J67" s="45">
        <v>2</v>
      </c>
      <c r="K67" s="45">
        <f t="shared" si="63"/>
        <v>9</v>
      </c>
      <c r="L67" s="45"/>
      <c r="M67" s="45"/>
      <c r="N67" s="45">
        <v>1</v>
      </c>
      <c r="O67" s="45">
        <f t="shared" si="64"/>
        <v>1</v>
      </c>
      <c r="P67" s="45">
        <v>1</v>
      </c>
      <c r="Q67" s="45">
        <v>25</v>
      </c>
      <c r="R67" s="45"/>
      <c r="S67" s="41">
        <f t="shared" si="71"/>
        <v>28</v>
      </c>
      <c r="T67" s="41">
        <f t="shared" si="66"/>
        <v>70</v>
      </c>
      <c r="U67" s="41">
        <f t="shared" si="67"/>
        <v>28</v>
      </c>
      <c r="V67" s="43">
        <f t="shared" si="83"/>
        <v>126</v>
      </c>
      <c r="W67" s="41">
        <f t="shared" si="22"/>
        <v>16</v>
      </c>
      <c r="X67" s="41">
        <f t="shared" si="23"/>
        <v>-5</v>
      </c>
      <c r="Y67" s="41">
        <f t="shared" si="24"/>
        <v>-5</v>
      </c>
      <c r="Z67" s="43">
        <f t="shared" si="25"/>
        <v>6</v>
      </c>
      <c r="AA67" s="81">
        <f t="shared" si="26"/>
        <v>12</v>
      </c>
      <c r="AB67" s="81">
        <f t="shared" si="27"/>
        <v>1</v>
      </c>
      <c r="AC67" s="81">
        <f t="shared" si="28"/>
        <v>1</v>
      </c>
      <c r="AD67" s="82">
        <f t="shared" si="84"/>
        <v>14</v>
      </c>
      <c r="AE67" s="81">
        <f t="shared" si="30"/>
        <v>24</v>
      </c>
      <c r="AF67" s="81">
        <f t="shared" si="31"/>
        <v>76</v>
      </c>
      <c r="AG67" s="81">
        <f t="shared" si="32"/>
        <v>34</v>
      </c>
      <c r="AH67" s="82">
        <f t="shared" si="85"/>
        <v>134</v>
      </c>
      <c r="AI67" s="41">
        <v>19957</v>
      </c>
      <c r="AJ67" s="41">
        <v>33979</v>
      </c>
      <c r="AK67" s="41">
        <v>36287</v>
      </c>
      <c r="AL67" s="43">
        <f t="shared" si="34"/>
        <v>90223</v>
      </c>
      <c r="AM67" s="81">
        <f t="shared" si="35"/>
        <v>239484</v>
      </c>
      <c r="AN67" s="81">
        <f t="shared" si="36"/>
        <v>33979</v>
      </c>
      <c r="AO67" s="81">
        <f t="shared" si="37"/>
        <v>36287</v>
      </c>
      <c r="AP67" s="82">
        <f t="shared" si="38"/>
        <v>309750</v>
      </c>
      <c r="AQ67" s="41">
        <v>1265</v>
      </c>
      <c r="AR67" s="41">
        <v>1441</v>
      </c>
      <c r="AS67" s="41">
        <v>1827</v>
      </c>
      <c r="AT67" s="43">
        <f t="shared" si="39"/>
        <v>4533</v>
      </c>
      <c r="AU67" s="81">
        <f t="shared" si="40"/>
        <v>15180</v>
      </c>
      <c r="AV67" s="81">
        <f t="shared" si="41"/>
        <v>1441</v>
      </c>
      <c r="AW67" s="81">
        <f t="shared" si="42"/>
        <v>1827</v>
      </c>
      <c r="AX67" s="82">
        <f t="shared" si="43"/>
        <v>18448</v>
      </c>
      <c r="AY67" s="81">
        <f t="shared" si="44"/>
        <v>254664</v>
      </c>
      <c r="AZ67" s="81">
        <f t="shared" si="45"/>
        <v>35420</v>
      </c>
      <c r="BA67" s="81">
        <f t="shared" si="46"/>
        <v>38114</v>
      </c>
      <c r="BB67" s="82">
        <f t="shared" si="47"/>
        <v>328198</v>
      </c>
      <c r="BC67" s="82">
        <v>2569</v>
      </c>
      <c r="BD67" s="82">
        <f t="shared" si="48"/>
        <v>2569</v>
      </c>
      <c r="BE67" s="82" t="str">
        <f t="shared" si="49"/>
        <v/>
      </c>
      <c r="BF67" s="82">
        <f t="shared" si="50"/>
        <v>-325629</v>
      </c>
      <c r="BG67" s="82" t="str">
        <f t="shared" si="51"/>
        <v/>
      </c>
      <c r="BH67" s="82">
        <f t="shared" si="52"/>
        <v>-325629</v>
      </c>
      <c r="BI67" s="90">
        <f t="shared" si="53"/>
        <v>6</v>
      </c>
      <c r="BJ67" s="90">
        <f t="shared" si="54"/>
        <v>15</v>
      </c>
      <c r="BK67" s="90">
        <f t="shared" si="55"/>
        <v>16.5</v>
      </c>
      <c r="BL67" s="90">
        <f t="shared" si="56"/>
        <v>13.333333333333334</v>
      </c>
    </row>
    <row r="68" spans="1:64" s="59" customFormat="1">
      <c r="A68" s="38">
        <v>62</v>
      </c>
      <c r="B68" s="39" t="s">
        <v>35</v>
      </c>
      <c r="C68" s="40" t="s">
        <v>238</v>
      </c>
      <c r="D68" s="41">
        <v>10</v>
      </c>
      <c r="E68" s="42"/>
      <c r="F68" s="43"/>
      <c r="G68" s="43">
        <f t="shared" si="79"/>
        <v>10</v>
      </c>
      <c r="H68" s="45">
        <v>2</v>
      </c>
      <c r="I68" s="45"/>
      <c r="J68" s="45"/>
      <c r="K68" s="45">
        <f t="shared" si="63"/>
        <v>2</v>
      </c>
      <c r="L68" s="45"/>
      <c r="M68" s="45"/>
      <c r="N68" s="45"/>
      <c r="O68" s="45">
        <f t="shared" si="64"/>
        <v>0</v>
      </c>
      <c r="P68" s="45"/>
      <c r="Q68" s="45"/>
      <c r="R68" s="45"/>
      <c r="S68" s="87">
        <f t="shared" ref="S68:S71" si="88">G68</f>
        <v>10</v>
      </c>
      <c r="T68" s="41">
        <f t="shared" si="66"/>
        <v>0</v>
      </c>
      <c r="U68" s="41">
        <f t="shared" si="67"/>
        <v>0</v>
      </c>
      <c r="V68" s="43">
        <f t="shared" si="83"/>
        <v>10</v>
      </c>
      <c r="W68" s="41">
        <f t="shared" si="22"/>
        <v>0</v>
      </c>
      <c r="X68" s="41">
        <f t="shared" si="23"/>
        <v>0</v>
      </c>
      <c r="Y68" s="41">
        <f t="shared" si="24"/>
        <v>0</v>
      </c>
      <c r="Z68" s="43">
        <f t="shared" si="25"/>
        <v>0</v>
      </c>
      <c r="AA68" s="81">
        <f t="shared" si="26"/>
        <v>0</v>
      </c>
      <c r="AB68" s="81">
        <f t="shared" si="27"/>
        <v>0</v>
      </c>
      <c r="AC68" s="81">
        <f t="shared" si="28"/>
        <v>0</v>
      </c>
      <c r="AD68" s="82">
        <f t="shared" si="84"/>
        <v>0</v>
      </c>
      <c r="AE68" s="81">
        <f t="shared" si="30"/>
        <v>10</v>
      </c>
      <c r="AF68" s="81">
        <f t="shared" si="31"/>
        <v>0</v>
      </c>
      <c r="AG68" s="81">
        <f t="shared" si="32"/>
        <v>0</v>
      </c>
      <c r="AH68" s="82">
        <f t="shared" si="85"/>
        <v>10</v>
      </c>
      <c r="AI68" s="41">
        <v>19957</v>
      </c>
      <c r="AJ68" s="41">
        <v>33979</v>
      </c>
      <c r="AK68" s="41">
        <v>36287</v>
      </c>
      <c r="AL68" s="43">
        <f t="shared" si="34"/>
        <v>90223</v>
      </c>
      <c r="AM68" s="81">
        <f t="shared" si="35"/>
        <v>0</v>
      </c>
      <c r="AN68" s="81">
        <f t="shared" si="36"/>
        <v>0</v>
      </c>
      <c r="AO68" s="81">
        <f t="shared" si="37"/>
        <v>0</v>
      </c>
      <c r="AP68" s="82">
        <f t="shared" si="38"/>
        <v>0</v>
      </c>
      <c r="AQ68" s="41">
        <v>1265</v>
      </c>
      <c r="AR68" s="41">
        <v>1441</v>
      </c>
      <c r="AS68" s="41">
        <v>1827</v>
      </c>
      <c r="AT68" s="43">
        <f t="shared" si="39"/>
        <v>4533</v>
      </c>
      <c r="AU68" s="81">
        <f t="shared" si="40"/>
        <v>0</v>
      </c>
      <c r="AV68" s="81">
        <f t="shared" si="41"/>
        <v>0</v>
      </c>
      <c r="AW68" s="81">
        <f t="shared" si="42"/>
        <v>0</v>
      </c>
      <c r="AX68" s="82">
        <f t="shared" si="43"/>
        <v>0</v>
      </c>
      <c r="AY68" s="81">
        <f t="shared" si="44"/>
        <v>0</v>
      </c>
      <c r="AZ68" s="81">
        <f t="shared" si="45"/>
        <v>0</v>
      </c>
      <c r="BA68" s="81">
        <f t="shared" si="46"/>
        <v>0</v>
      </c>
      <c r="BB68" s="82">
        <f t="shared" si="47"/>
        <v>0</v>
      </c>
      <c r="BC68" s="82">
        <v>21998</v>
      </c>
      <c r="BD68" s="82">
        <f t="shared" si="48"/>
        <v>21998</v>
      </c>
      <c r="BE68" s="82" t="str">
        <f t="shared" si="49"/>
        <v/>
      </c>
      <c r="BF68" s="82">
        <f t="shared" si="50"/>
        <v>21998</v>
      </c>
      <c r="BG68" s="82">
        <f t="shared" si="51"/>
        <v>21998</v>
      </c>
      <c r="BH68" s="82" t="str">
        <f t="shared" si="52"/>
        <v/>
      </c>
      <c r="BI68" s="90">
        <f t="shared" si="53"/>
        <v>5</v>
      </c>
      <c r="BJ68" s="90" t="str">
        <f t="shared" si="54"/>
        <v/>
      </c>
      <c r="BK68" s="90" t="str">
        <f t="shared" si="55"/>
        <v/>
      </c>
      <c r="BL68" s="90">
        <f t="shared" si="56"/>
        <v>5</v>
      </c>
    </row>
    <row r="69" spans="1:64" s="59" customFormat="1">
      <c r="A69" s="38">
        <v>63</v>
      </c>
      <c r="B69" s="39" t="s">
        <v>36</v>
      </c>
      <c r="C69" s="40" t="s">
        <v>239</v>
      </c>
      <c r="D69" s="41">
        <v>15</v>
      </c>
      <c r="E69" s="42"/>
      <c r="F69" s="43"/>
      <c r="G69" s="43">
        <f t="shared" si="79"/>
        <v>15</v>
      </c>
      <c r="H69" s="45">
        <v>3</v>
      </c>
      <c r="I69" s="45"/>
      <c r="J69" s="45"/>
      <c r="K69" s="45">
        <f t="shared" si="63"/>
        <v>3</v>
      </c>
      <c r="L69" s="45"/>
      <c r="M69" s="45"/>
      <c r="N69" s="45"/>
      <c r="O69" s="45">
        <f t="shared" si="64"/>
        <v>0</v>
      </c>
      <c r="P69" s="45"/>
      <c r="Q69" s="45"/>
      <c r="R69" s="45"/>
      <c r="S69" s="87">
        <f t="shared" si="88"/>
        <v>15</v>
      </c>
      <c r="T69" s="41">
        <f t="shared" si="66"/>
        <v>0</v>
      </c>
      <c r="U69" s="41">
        <f t="shared" si="67"/>
        <v>0</v>
      </c>
      <c r="V69" s="43">
        <f t="shared" si="83"/>
        <v>15</v>
      </c>
      <c r="W69" s="41">
        <f t="shared" si="22"/>
        <v>0</v>
      </c>
      <c r="X69" s="41">
        <f t="shared" si="23"/>
        <v>0</v>
      </c>
      <c r="Y69" s="41">
        <f t="shared" si="24"/>
        <v>0</v>
      </c>
      <c r="Z69" s="43">
        <f t="shared" si="25"/>
        <v>0</v>
      </c>
      <c r="AA69" s="81">
        <f t="shared" si="26"/>
        <v>0</v>
      </c>
      <c r="AB69" s="81">
        <f t="shared" si="27"/>
        <v>0</v>
      </c>
      <c r="AC69" s="81">
        <f t="shared" si="28"/>
        <v>0</v>
      </c>
      <c r="AD69" s="82">
        <f t="shared" si="84"/>
        <v>0</v>
      </c>
      <c r="AE69" s="81">
        <f t="shared" si="30"/>
        <v>15</v>
      </c>
      <c r="AF69" s="81">
        <f t="shared" si="31"/>
        <v>0</v>
      </c>
      <c r="AG69" s="81">
        <f t="shared" si="32"/>
        <v>0</v>
      </c>
      <c r="AH69" s="82">
        <f t="shared" si="85"/>
        <v>15</v>
      </c>
      <c r="AI69" s="41">
        <v>19957</v>
      </c>
      <c r="AJ69" s="41">
        <v>33979</v>
      </c>
      <c r="AK69" s="41">
        <v>36287</v>
      </c>
      <c r="AL69" s="43">
        <f t="shared" si="34"/>
        <v>90223</v>
      </c>
      <c r="AM69" s="81">
        <f t="shared" si="35"/>
        <v>0</v>
      </c>
      <c r="AN69" s="81">
        <f t="shared" si="36"/>
        <v>0</v>
      </c>
      <c r="AO69" s="81">
        <f t="shared" si="37"/>
        <v>0</v>
      </c>
      <c r="AP69" s="82">
        <f t="shared" si="38"/>
        <v>0</v>
      </c>
      <c r="AQ69" s="41">
        <v>1265</v>
      </c>
      <c r="AR69" s="41">
        <v>1441</v>
      </c>
      <c r="AS69" s="41">
        <v>1827</v>
      </c>
      <c r="AT69" s="43">
        <f t="shared" si="39"/>
        <v>4533</v>
      </c>
      <c r="AU69" s="81">
        <f t="shared" si="40"/>
        <v>0</v>
      </c>
      <c r="AV69" s="81">
        <f t="shared" si="41"/>
        <v>0</v>
      </c>
      <c r="AW69" s="81">
        <f t="shared" si="42"/>
        <v>0</v>
      </c>
      <c r="AX69" s="82">
        <f t="shared" si="43"/>
        <v>0</v>
      </c>
      <c r="AY69" s="81">
        <f t="shared" si="44"/>
        <v>0</v>
      </c>
      <c r="AZ69" s="81">
        <f t="shared" si="45"/>
        <v>0</v>
      </c>
      <c r="BA69" s="81">
        <f t="shared" si="46"/>
        <v>0</v>
      </c>
      <c r="BB69" s="82">
        <f t="shared" si="47"/>
        <v>0</v>
      </c>
      <c r="BC69" s="82">
        <v>197164</v>
      </c>
      <c r="BD69" s="82">
        <f t="shared" si="48"/>
        <v>197164</v>
      </c>
      <c r="BE69" s="82" t="str">
        <f t="shared" si="49"/>
        <v/>
      </c>
      <c r="BF69" s="82">
        <f t="shared" si="50"/>
        <v>197164</v>
      </c>
      <c r="BG69" s="82">
        <f t="shared" si="51"/>
        <v>197164</v>
      </c>
      <c r="BH69" s="82" t="str">
        <f t="shared" si="52"/>
        <v/>
      </c>
      <c r="BI69" s="90">
        <f t="shared" si="53"/>
        <v>5</v>
      </c>
      <c r="BJ69" s="90" t="str">
        <f t="shared" si="54"/>
        <v/>
      </c>
      <c r="BK69" s="90" t="str">
        <f t="shared" si="55"/>
        <v/>
      </c>
      <c r="BL69" s="90">
        <f t="shared" si="56"/>
        <v>5</v>
      </c>
    </row>
    <row r="70" spans="1:64" s="59" customFormat="1">
      <c r="A70" s="38">
        <v>64</v>
      </c>
      <c r="B70" s="39" t="s">
        <v>37</v>
      </c>
      <c r="C70" s="40" t="s">
        <v>240</v>
      </c>
      <c r="D70" s="41">
        <v>14</v>
      </c>
      <c r="E70" s="42"/>
      <c r="F70" s="43"/>
      <c r="G70" s="43">
        <f t="shared" si="79"/>
        <v>14</v>
      </c>
      <c r="H70" s="45">
        <v>2</v>
      </c>
      <c r="I70" s="45"/>
      <c r="J70" s="45"/>
      <c r="K70" s="45">
        <f t="shared" si="63"/>
        <v>2</v>
      </c>
      <c r="L70" s="45"/>
      <c r="M70" s="45"/>
      <c r="N70" s="45"/>
      <c r="O70" s="45">
        <f t="shared" si="64"/>
        <v>0</v>
      </c>
      <c r="P70" s="45"/>
      <c r="Q70" s="45"/>
      <c r="R70" s="45"/>
      <c r="S70" s="87">
        <f t="shared" si="88"/>
        <v>14</v>
      </c>
      <c r="T70" s="41">
        <f t="shared" si="66"/>
        <v>0</v>
      </c>
      <c r="U70" s="41">
        <f t="shared" si="67"/>
        <v>0</v>
      </c>
      <c r="V70" s="43">
        <f t="shared" si="83"/>
        <v>14</v>
      </c>
      <c r="W70" s="41">
        <f t="shared" si="22"/>
        <v>0</v>
      </c>
      <c r="X70" s="41">
        <f t="shared" si="23"/>
        <v>0</v>
      </c>
      <c r="Y70" s="41">
        <f t="shared" si="24"/>
        <v>0</v>
      </c>
      <c r="Z70" s="43">
        <f t="shared" si="25"/>
        <v>0</v>
      </c>
      <c r="AA70" s="81">
        <f t="shared" si="26"/>
        <v>0</v>
      </c>
      <c r="AB70" s="81">
        <f t="shared" si="27"/>
        <v>0</v>
      </c>
      <c r="AC70" s="81">
        <f t="shared" si="28"/>
        <v>0</v>
      </c>
      <c r="AD70" s="82">
        <f t="shared" si="84"/>
        <v>0</v>
      </c>
      <c r="AE70" s="81">
        <f t="shared" si="30"/>
        <v>14</v>
      </c>
      <c r="AF70" s="81">
        <f t="shared" si="31"/>
        <v>0</v>
      </c>
      <c r="AG70" s="81">
        <f t="shared" si="32"/>
        <v>0</v>
      </c>
      <c r="AH70" s="82">
        <f t="shared" si="85"/>
        <v>14</v>
      </c>
      <c r="AI70" s="41">
        <v>19957</v>
      </c>
      <c r="AJ70" s="41">
        <v>33979</v>
      </c>
      <c r="AK70" s="41">
        <v>36287</v>
      </c>
      <c r="AL70" s="43">
        <f t="shared" si="34"/>
        <v>90223</v>
      </c>
      <c r="AM70" s="81">
        <f t="shared" si="35"/>
        <v>0</v>
      </c>
      <c r="AN70" s="81">
        <f t="shared" si="36"/>
        <v>0</v>
      </c>
      <c r="AO70" s="81">
        <f t="shared" si="37"/>
        <v>0</v>
      </c>
      <c r="AP70" s="82">
        <f t="shared" si="38"/>
        <v>0</v>
      </c>
      <c r="AQ70" s="41">
        <v>1265</v>
      </c>
      <c r="AR70" s="41">
        <v>1441</v>
      </c>
      <c r="AS70" s="41">
        <v>1827</v>
      </c>
      <c r="AT70" s="43">
        <f t="shared" si="39"/>
        <v>4533</v>
      </c>
      <c r="AU70" s="81">
        <f t="shared" si="40"/>
        <v>0</v>
      </c>
      <c r="AV70" s="81">
        <f t="shared" si="41"/>
        <v>0</v>
      </c>
      <c r="AW70" s="81">
        <f t="shared" si="42"/>
        <v>0</v>
      </c>
      <c r="AX70" s="82">
        <f t="shared" si="43"/>
        <v>0</v>
      </c>
      <c r="AY70" s="81">
        <f t="shared" si="44"/>
        <v>0</v>
      </c>
      <c r="AZ70" s="81">
        <f t="shared" si="45"/>
        <v>0</v>
      </c>
      <c r="BA70" s="81">
        <f t="shared" si="46"/>
        <v>0</v>
      </c>
      <c r="BB70" s="82">
        <f t="shared" si="47"/>
        <v>0</v>
      </c>
      <c r="BC70" s="82">
        <v>74998</v>
      </c>
      <c r="BD70" s="82">
        <f t="shared" si="48"/>
        <v>74998</v>
      </c>
      <c r="BE70" s="82" t="str">
        <f t="shared" si="49"/>
        <v/>
      </c>
      <c r="BF70" s="82">
        <f t="shared" si="50"/>
        <v>74998</v>
      </c>
      <c r="BG70" s="82">
        <f t="shared" si="51"/>
        <v>74998</v>
      </c>
      <c r="BH70" s="82" t="str">
        <f t="shared" si="52"/>
        <v/>
      </c>
      <c r="BI70" s="90">
        <f t="shared" si="53"/>
        <v>7</v>
      </c>
      <c r="BJ70" s="90" t="str">
        <f t="shared" si="54"/>
        <v/>
      </c>
      <c r="BK70" s="90" t="str">
        <f t="shared" si="55"/>
        <v/>
      </c>
      <c r="BL70" s="90">
        <f t="shared" si="56"/>
        <v>7</v>
      </c>
    </row>
    <row r="71" spans="1:64" s="59" customFormat="1">
      <c r="A71" s="38">
        <v>65</v>
      </c>
      <c r="B71" s="39" t="s">
        <v>38</v>
      </c>
      <c r="C71" s="40" t="s">
        <v>241</v>
      </c>
      <c r="D71" s="41">
        <v>13</v>
      </c>
      <c r="E71" s="42"/>
      <c r="F71" s="43"/>
      <c r="G71" s="43">
        <f t="shared" ref="G71:G83" si="89">D71+E71+F71</f>
        <v>13</v>
      </c>
      <c r="H71" s="45">
        <v>2</v>
      </c>
      <c r="I71" s="45"/>
      <c r="J71" s="45"/>
      <c r="K71" s="45">
        <f t="shared" ref="K71:K83" si="90">H71+I71+J71</f>
        <v>2</v>
      </c>
      <c r="L71" s="45"/>
      <c r="M71" s="45"/>
      <c r="N71" s="45"/>
      <c r="O71" s="45">
        <f t="shared" ref="O71:O83" si="91">L71+M71+N71</f>
        <v>0</v>
      </c>
      <c r="P71" s="45"/>
      <c r="Q71" s="45"/>
      <c r="R71" s="45"/>
      <c r="S71" s="87">
        <f t="shared" si="88"/>
        <v>13</v>
      </c>
      <c r="T71" s="41">
        <f t="shared" si="66"/>
        <v>0</v>
      </c>
      <c r="U71" s="41">
        <f t="shared" si="67"/>
        <v>0</v>
      </c>
      <c r="V71" s="43">
        <f t="shared" si="83"/>
        <v>13</v>
      </c>
      <c r="W71" s="41">
        <f t="shared" si="22"/>
        <v>0</v>
      </c>
      <c r="X71" s="41">
        <f t="shared" si="23"/>
        <v>0</v>
      </c>
      <c r="Y71" s="41">
        <f t="shared" si="24"/>
        <v>0</v>
      </c>
      <c r="Z71" s="43">
        <f t="shared" si="25"/>
        <v>0</v>
      </c>
      <c r="AA71" s="81">
        <f t="shared" si="26"/>
        <v>0</v>
      </c>
      <c r="AB71" s="81">
        <f t="shared" si="27"/>
        <v>0</v>
      </c>
      <c r="AC71" s="81">
        <f t="shared" si="28"/>
        <v>0</v>
      </c>
      <c r="AD71" s="82">
        <f t="shared" si="84"/>
        <v>0</v>
      </c>
      <c r="AE71" s="81">
        <f t="shared" si="30"/>
        <v>13</v>
      </c>
      <c r="AF71" s="81">
        <f t="shared" si="31"/>
        <v>0</v>
      </c>
      <c r="AG71" s="81">
        <f t="shared" si="32"/>
        <v>0</v>
      </c>
      <c r="AH71" s="82">
        <f t="shared" si="85"/>
        <v>13</v>
      </c>
      <c r="AI71" s="41">
        <v>19957</v>
      </c>
      <c r="AJ71" s="41">
        <v>33979</v>
      </c>
      <c r="AK71" s="41">
        <v>36287</v>
      </c>
      <c r="AL71" s="43">
        <f t="shared" si="34"/>
        <v>90223</v>
      </c>
      <c r="AM71" s="81">
        <f t="shared" si="35"/>
        <v>0</v>
      </c>
      <c r="AN71" s="81">
        <f t="shared" si="36"/>
        <v>0</v>
      </c>
      <c r="AO71" s="81">
        <f t="shared" si="37"/>
        <v>0</v>
      </c>
      <c r="AP71" s="82">
        <f t="shared" si="38"/>
        <v>0</v>
      </c>
      <c r="AQ71" s="41">
        <v>1265</v>
      </c>
      <c r="AR71" s="41">
        <v>1441</v>
      </c>
      <c r="AS71" s="41">
        <v>1827</v>
      </c>
      <c r="AT71" s="43">
        <f t="shared" si="39"/>
        <v>4533</v>
      </c>
      <c r="AU71" s="81">
        <f t="shared" si="40"/>
        <v>0</v>
      </c>
      <c r="AV71" s="81">
        <f t="shared" si="41"/>
        <v>0</v>
      </c>
      <c r="AW71" s="81">
        <f t="shared" si="42"/>
        <v>0</v>
      </c>
      <c r="AX71" s="82">
        <f t="shared" si="43"/>
        <v>0</v>
      </c>
      <c r="AY71" s="81">
        <f t="shared" si="44"/>
        <v>0</v>
      </c>
      <c r="AZ71" s="81">
        <f t="shared" si="45"/>
        <v>0</v>
      </c>
      <c r="BA71" s="81">
        <f t="shared" si="46"/>
        <v>0</v>
      </c>
      <c r="BB71" s="82">
        <f t="shared" si="47"/>
        <v>0</v>
      </c>
      <c r="BC71" s="82">
        <v>56398</v>
      </c>
      <c r="BD71" s="82">
        <f t="shared" si="48"/>
        <v>56398</v>
      </c>
      <c r="BE71" s="82" t="str">
        <f t="shared" si="49"/>
        <v/>
      </c>
      <c r="BF71" s="82">
        <f t="shared" si="50"/>
        <v>56398</v>
      </c>
      <c r="BG71" s="82">
        <f t="shared" si="51"/>
        <v>56398</v>
      </c>
      <c r="BH71" s="82" t="str">
        <f t="shared" si="52"/>
        <v/>
      </c>
      <c r="BI71" s="90">
        <f t="shared" si="53"/>
        <v>6.5</v>
      </c>
      <c r="BJ71" s="90" t="str">
        <f t="shared" si="54"/>
        <v/>
      </c>
      <c r="BK71" s="90" t="str">
        <f t="shared" si="55"/>
        <v/>
      </c>
      <c r="BL71" s="90">
        <f t="shared" si="56"/>
        <v>6.5</v>
      </c>
    </row>
    <row r="72" spans="1:64" s="59" customFormat="1">
      <c r="A72" s="38">
        <v>66</v>
      </c>
      <c r="B72" s="39" t="s">
        <v>73</v>
      </c>
      <c r="C72" s="40" t="s">
        <v>242</v>
      </c>
      <c r="D72" s="41">
        <v>21</v>
      </c>
      <c r="E72" s="42">
        <v>44</v>
      </c>
      <c r="F72" s="43"/>
      <c r="G72" s="43">
        <f t="shared" si="89"/>
        <v>65</v>
      </c>
      <c r="H72" s="45">
        <v>2</v>
      </c>
      <c r="I72" s="45">
        <v>5</v>
      </c>
      <c r="J72" s="45"/>
      <c r="K72" s="45">
        <f t="shared" si="90"/>
        <v>7</v>
      </c>
      <c r="L72" s="45"/>
      <c r="M72" s="45">
        <v>1</v>
      </c>
      <c r="N72" s="45"/>
      <c r="O72" s="45">
        <f t="shared" si="91"/>
        <v>1</v>
      </c>
      <c r="P72" s="45"/>
      <c r="Q72" s="45"/>
      <c r="R72" s="45"/>
      <c r="S72" s="41">
        <f t="shared" ref="S72:S82" si="92">H72*14</f>
        <v>28</v>
      </c>
      <c r="T72" s="41">
        <f t="shared" ref="T72:T83" si="93">I72*14</f>
        <v>70</v>
      </c>
      <c r="U72" s="41">
        <f t="shared" ref="U72:U83" si="94">J72*14</f>
        <v>0</v>
      </c>
      <c r="V72" s="43">
        <f t="shared" si="83"/>
        <v>98</v>
      </c>
      <c r="W72" s="41">
        <f t="shared" ref="W72:W83" si="95">S72-D72</f>
        <v>7</v>
      </c>
      <c r="X72" s="41">
        <f t="shared" ref="X72:X83" si="96">T72-E72</f>
        <v>26</v>
      </c>
      <c r="Y72" s="41">
        <f t="shared" ref="Y72:Y83" si="97">U72-F72</f>
        <v>0</v>
      </c>
      <c r="Z72" s="43">
        <f t="shared" ref="Z72:Z83" si="98">W72+X72+Y72</f>
        <v>33</v>
      </c>
      <c r="AA72" s="81">
        <f t="shared" ref="AA72:AA83" si="99">IF(W72&gt;0,W72*0.75,-W72*0.2)</f>
        <v>5.25</v>
      </c>
      <c r="AB72" s="81">
        <f t="shared" ref="AB72:AB83" si="100">IF(X72&gt;0,X72*0.75,-X72*0.2)</f>
        <v>19.5</v>
      </c>
      <c r="AC72" s="81">
        <f t="shared" ref="AC72:AC83" si="101">IF(Y72&gt;0,Y72*0.75,-Y72*0.2)</f>
        <v>0</v>
      </c>
      <c r="AD72" s="82">
        <f t="shared" si="84"/>
        <v>24.75</v>
      </c>
      <c r="AE72" s="81">
        <f t="shared" ref="AE72:AE83" si="102">D72+AA72</f>
        <v>26.25</v>
      </c>
      <c r="AF72" s="81">
        <f t="shared" ref="AF72:AF83" si="103">E72+AB72</f>
        <v>63.5</v>
      </c>
      <c r="AG72" s="81">
        <f t="shared" ref="AG72:AG83" si="104">F72+AC72</f>
        <v>0</v>
      </c>
      <c r="AH72" s="82">
        <f t="shared" si="85"/>
        <v>89.75</v>
      </c>
      <c r="AI72" s="41">
        <v>19957</v>
      </c>
      <c r="AJ72" s="41">
        <v>33979</v>
      </c>
      <c r="AK72" s="41">
        <v>36287</v>
      </c>
      <c r="AL72" s="43">
        <f t="shared" ref="AL72:AL83" si="105">AI72+AJ72+AK72</f>
        <v>90223</v>
      </c>
      <c r="AM72" s="81">
        <f t="shared" ref="AM72:AM83" si="106">AA72*AI72</f>
        <v>104774.25</v>
      </c>
      <c r="AN72" s="81">
        <f t="shared" ref="AN72:AN83" si="107">AB72*AJ72</f>
        <v>662590.5</v>
      </c>
      <c r="AO72" s="81">
        <f t="shared" ref="AO72:AO83" si="108">AC72*AK72</f>
        <v>0</v>
      </c>
      <c r="AP72" s="82">
        <f t="shared" ref="AP72:AP83" si="109">AM72+AN72+AO72</f>
        <v>767364.75</v>
      </c>
      <c r="AQ72" s="41">
        <v>1265</v>
      </c>
      <c r="AR72" s="41">
        <v>1441</v>
      </c>
      <c r="AS72" s="41">
        <v>1827</v>
      </c>
      <c r="AT72" s="43">
        <f t="shared" ref="AT72:AT83" si="110">AQ72+AR72+AS72</f>
        <v>4533</v>
      </c>
      <c r="AU72" s="81">
        <f t="shared" ref="AU72:AU83" si="111">AA72*AQ72</f>
        <v>6641.25</v>
      </c>
      <c r="AV72" s="81">
        <f t="shared" ref="AV72:AV83" si="112">AB72*AR72</f>
        <v>28099.5</v>
      </c>
      <c r="AW72" s="81">
        <f t="shared" ref="AW72:AW83" si="113">AC72*AS72</f>
        <v>0</v>
      </c>
      <c r="AX72" s="82">
        <f t="shared" ref="AX72:AX83" si="114">AU72+AV72+AW72</f>
        <v>34740.75</v>
      </c>
      <c r="AY72" s="81">
        <f t="shared" ref="AY72:AY83" si="115">AM72+AU72</f>
        <v>111415.5</v>
      </c>
      <c r="AZ72" s="81">
        <f t="shared" ref="AZ72:AZ83" si="116">AN72+AV72</f>
        <v>690690</v>
      </c>
      <c r="BA72" s="81">
        <f t="shared" ref="BA72:BA83" si="117">AO72+AW72</f>
        <v>0</v>
      </c>
      <c r="BB72" s="82">
        <f t="shared" ref="BB72:BB83" si="118">AY72+AZ72+BA72</f>
        <v>802105.5</v>
      </c>
      <c r="BC72" s="82">
        <v>919091</v>
      </c>
      <c r="BD72" s="82">
        <f t="shared" ref="BD72:BD83" si="119">IF(BC72&gt;0,BC72,"")</f>
        <v>919091</v>
      </c>
      <c r="BE72" s="82" t="str">
        <f t="shared" ref="BE72:BE83" si="120">IF(BC72&lt;0,BC72,"")</f>
        <v/>
      </c>
      <c r="BF72" s="82">
        <f t="shared" ref="BF72:BF83" si="121">BC72-BB72</f>
        <v>116985.5</v>
      </c>
      <c r="BG72" s="82">
        <f t="shared" ref="BG72:BG83" si="122">IF(BF72&gt;0,BF72,"")</f>
        <v>116985.5</v>
      </c>
      <c r="BH72" s="82" t="str">
        <f t="shared" ref="BH72:BH83" si="123">IF(BF72&lt;0,BF72,"")</f>
        <v/>
      </c>
      <c r="BI72" s="90">
        <f t="shared" ref="BI72:BI83" si="124">IF(D72=0,"",D72/H72)</f>
        <v>10.5</v>
      </c>
      <c r="BJ72" s="90">
        <f t="shared" ref="BJ72:BJ83" si="125">IF(E72=0,"",E72/I72)</f>
        <v>8.8000000000000007</v>
      </c>
      <c r="BK72" s="90" t="str">
        <f t="shared" ref="BK72:BK83" si="126">IF(F72=0,"",F72/J72)</f>
        <v/>
      </c>
      <c r="BL72" s="90">
        <f t="shared" ref="BL72:BL83" si="127">IF(G72=0,"",G72/K72)</f>
        <v>9.2857142857142865</v>
      </c>
    </row>
    <row r="73" spans="1:64" s="59" customFormat="1">
      <c r="A73" s="38">
        <v>67</v>
      </c>
      <c r="B73" s="39" t="s">
        <v>39</v>
      </c>
      <c r="C73" s="40" t="s">
        <v>243</v>
      </c>
      <c r="D73" s="41">
        <v>8</v>
      </c>
      <c r="E73" s="42"/>
      <c r="F73" s="43"/>
      <c r="G73" s="43">
        <f t="shared" si="89"/>
        <v>8</v>
      </c>
      <c r="H73" s="45">
        <v>2</v>
      </c>
      <c r="I73" s="45"/>
      <c r="J73" s="45"/>
      <c r="K73" s="45">
        <f t="shared" si="90"/>
        <v>2</v>
      </c>
      <c r="L73" s="45"/>
      <c r="M73" s="45"/>
      <c r="N73" s="45"/>
      <c r="O73" s="45">
        <f t="shared" si="91"/>
        <v>0</v>
      </c>
      <c r="P73" s="45"/>
      <c r="Q73" s="45"/>
      <c r="R73" s="45"/>
      <c r="S73" s="87">
        <f t="shared" ref="S73:S75" si="128">G73</f>
        <v>8</v>
      </c>
      <c r="T73" s="41">
        <f t="shared" si="93"/>
        <v>0</v>
      </c>
      <c r="U73" s="41">
        <f t="shared" si="94"/>
        <v>0</v>
      </c>
      <c r="V73" s="43">
        <f t="shared" si="83"/>
        <v>8</v>
      </c>
      <c r="W73" s="41">
        <f t="shared" si="95"/>
        <v>0</v>
      </c>
      <c r="X73" s="41">
        <f t="shared" si="96"/>
        <v>0</v>
      </c>
      <c r="Y73" s="41">
        <f t="shared" si="97"/>
        <v>0</v>
      </c>
      <c r="Z73" s="43">
        <f t="shared" si="98"/>
        <v>0</v>
      </c>
      <c r="AA73" s="81">
        <f t="shared" si="99"/>
        <v>0</v>
      </c>
      <c r="AB73" s="81">
        <f t="shared" si="100"/>
        <v>0</v>
      </c>
      <c r="AC73" s="81">
        <f t="shared" si="101"/>
        <v>0</v>
      </c>
      <c r="AD73" s="82">
        <f t="shared" si="84"/>
        <v>0</v>
      </c>
      <c r="AE73" s="81">
        <f t="shared" si="102"/>
        <v>8</v>
      </c>
      <c r="AF73" s="81">
        <f t="shared" si="103"/>
        <v>0</v>
      </c>
      <c r="AG73" s="81">
        <f t="shared" si="104"/>
        <v>0</v>
      </c>
      <c r="AH73" s="82">
        <f t="shared" si="85"/>
        <v>8</v>
      </c>
      <c r="AI73" s="41">
        <v>19957</v>
      </c>
      <c r="AJ73" s="41">
        <v>33979</v>
      </c>
      <c r="AK73" s="41">
        <v>36287</v>
      </c>
      <c r="AL73" s="43">
        <f t="shared" si="105"/>
        <v>90223</v>
      </c>
      <c r="AM73" s="81">
        <f t="shared" si="106"/>
        <v>0</v>
      </c>
      <c r="AN73" s="81">
        <f t="shared" si="107"/>
        <v>0</v>
      </c>
      <c r="AO73" s="81">
        <f t="shared" si="108"/>
        <v>0</v>
      </c>
      <c r="AP73" s="82">
        <f t="shared" si="109"/>
        <v>0</v>
      </c>
      <c r="AQ73" s="41">
        <v>1265</v>
      </c>
      <c r="AR73" s="41">
        <v>1441</v>
      </c>
      <c r="AS73" s="41">
        <v>1827</v>
      </c>
      <c r="AT73" s="43">
        <f t="shared" si="110"/>
        <v>4533</v>
      </c>
      <c r="AU73" s="81">
        <f t="shared" si="111"/>
        <v>0</v>
      </c>
      <c r="AV73" s="81">
        <f t="shared" si="112"/>
        <v>0</v>
      </c>
      <c r="AW73" s="81">
        <f t="shared" si="113"/>
        <v>0</v>
      </c>
      <c r="AX73" s="82">
        <f t="shared" si="114"/>
        <v>0</v>
      </c>
      <c r="AY73" s="81">
        <f t="shared" si="115"/>
        <v>0</v>
      </c>
      <c r="AZ73" s="81">
        <f t="shared" si="116"/>
        <v>0</v>
      </c>
      <c r="BA73" s="81">
        <f t="shared" si="117"/>
        <v>0</v>
      </c>
      <c r="BB73" s="82">
        <f t="shared" si="118"/>
        <v>0</v>
      </c>
      <c r="BC73" s="82">
        <v>-28802</v>
      </c>
      <c r="BD73" s="82" t="str">
        <f t="shared" si="119"/>
        <v/>
      </c>
      <c r="BE73" s="82">
        <f t="shared" si="120"/>
        <v>-28802</v>
      </c>
      <c r="BF73" s="82">
        <f t="shared" si="121"/>
        <v>-28802</v>
      </c>
      <c r="BG73" s="82" t="str">
        <f t="shared" si="122"/>
        <v/>
      </c>
      <c r="BH73" s="82">
        <f t="shared" si="123"/>
        <v>-28802</v>
      </c>
      <c r="BI73" s="90">
        <f t="shared" si="124"/>
        <v>4</v>
      </c>
      <c r="BJ73" s="90" t="str">
        <f t="shared" si="125"/>
        <v/>
      </c>
      <c r="BK73" s="90" t="str">
        <f t="shared" si="126"/>
        <v/>
      </c>
      <c r="BL73" s="90">
        <f t="shared" si="127"/>
        <v>4</v>
      </c>
    </row>
    <row r="74" spans="1:64" s="59" customFormat="1">
      <c r="A74" s="38">
        <v>68</v>
      </c>
      <c r="B74" s="39" t="s">
        <v>40</v>
      </c>
      <c r="C74" s="40" t="s">
        <v>244</v>
      </c>
      <c r="D74" s="41">
        <v>13</v>
      </c>
      <c r="E74" s="42"/>
      <c r="F74" s="43"/>
      <c r="G74" s="43">
        <f t="shared" si="89"/>
        <v>13</v>
      </c>
      <c r="H74" s="45">
        <v>3</v>
      </c>
      <c r="I74" s="45"/>
      <c r="J74" s="45"/>
      <c r="K74" s="45">
        <f t="shared" si="90"/>
        <v>3</v>
      </c>
      <c r="L74" s="45"/>
      <c r="M74" s="45"/>
      <c r="N74" s="45"/>
      <c r="O74" s="45">
        <f t="shared" si="91"/>
        <v>0</v>
      </c>
      <c r="P74" s="45"/>
      <c r="Q74" s="45"/>
      <c r="R74" s="45"/>
      <c r="S74" s="87">
        <f t="shared" si="128"/>
        <v>13</v>
      </c>
      <c r="T74" s="41">
        <f t="shared" si="93"/>
        <v>0</v>
      </c>
      <c r="U74" s="41">
        <f t="shared" si="94"/>
        <v>0</v>
      </c>
      <c r="V74" s="43">
        <f t="shared" si="83"/>
        <v>13</v>
      </c>
      <c r="W74" s="41">
        <f t="shared" si="95"/>
        <v>0</v>
      </c>
      <c r="X74" s="41">
        <f t="shared" si="96"/>
        <v>0</v>
      </c>
      <c r="Y74" s="41">
        <f t="shared" si="97"/>
        <v>0</v>
      </c>
      <c r="Z74" s="43">
        <f t="shared" si="98"/>
        <v>0</v>
      </c>
      <c r="AA74" s="81">
        <f t="shared" si="99"/>
        <v>0</v>
      </c>
      <c r="AB74" s="81">
        <f t="shared" si="100"/>
        <v>0</v>
      </c>
      <c r="AC74" s="81">
        <f t="shared" si="101"/>
        <v>0</v>
      </c>
      <c r="AD74" s="82">
        <f t="shared" si="84"/>
        <v>0</v>
      </c>
      <c r="AE74" s="81">
        <f t="shared" si="102"/>
        <v>13</v>
      </c>
      <c r="AF74" s="81">
        <f t="shared" si="103"/>
        <v>0</v>
      </c>
      <c r="AG74" s="81">
        <f t="shared" si="104"/>
        <v>0</v>
      </c>
      <c r="AH74" s="82">
        <f t="shared" si="85"/>
        <v>13</v>
      </c>
      <c r="AI74" s="41">
        <v>19957</v>
      </c>
      <c r="AJ74" s="41">
        <v>33979</v>
      </c>
      <c r="AK74" s="41">
        <v>36287</v>
      </c>
      <c r="AL74" s="43">
        <f t="shared" si="105"/>
        <v>90223</v>
      </c>
      <c r="AM74" s="81">
        <f t="shared" si="106"/>
        <v>0</v>
      </c>
      <c r="AN74" s="81">
        <f t="shared" si="107"/>
        <v>0</v>
      </c>
      <c r="AO74" s="81">
        <f t="shared" si="108"/>
        <v>0</v>
      </c>
      <c r="AP74" s="82">
        <f t="shared" si="109"/>
        <v>0</v>
      </c>
      <c r="AQ74" s="41">
        <v>1265</v>
      </c>
      <c r="AR74" s="41">
        <v>1441</v>
      </c>
      <c r="AS74" s="41">
        <v>1827</v>
      </c>
      <c r="AT74" s="43">
        <f t="shared" si="110"/>
        <v>4533</v>
      </c>
      <c r="AU74" s="81">
        <f t="shared" si="111"/>
        <v>0</v>
      </c>
      <c r="AV74" s="81">
        <f t="shared" si="112"/>
        <v>0</v>
      </c>
      <c r="AW74" s="81">
        <f t="shared" si="113"/>
        <v>0</v>
      </c>
      <c r="AX74" s="82">
        <f t="shared" si="114"/>
        <v>0</v>
      </c>
      <c r="AY74" s="81">
        <f t="shared" si="115"/>
        <v>0</v>
      </c>
      <c r="AZ74" s="81">
        <f t="shared" si="116"/>
        <v>0</v>
      </c>
      <c r="BA74" s="81">
        <f t="shared" si="117"/>
        <v>0</v>
      </c>
      <c r="BB74" s="82">
        <f t="shared" si="118"/>
        <v>0</v>
      </c>
      <c r="BC74" s="82">
        <v>62847</v>
      </c>
      <c r="BD74" s="82">
        <f t="shared" si="119"/>
        <v>62847</v>
      </c>
      <c r="BE74" s="82" t="str">
        <f t="shared" si="120"/>
        <v/>
      </c>
      <c r="BF74" s="82">
        <f t="shared" si="121"/>
        <v>62847</v>
      </c>
      <c r="BG74" s="82">
        <f t="shared" si="122"/>
        <v>62847</v>
      </c>
      <c r="BH74" s="82" t="str">
        <f t="shared" si="123"/>
        <v/>
      </c>
      <c r="BI74" s="90">
        <f t="shared" si="124"/>
        <v>4.333333333333333</v>
      </c>
      <c r="BJ74" s="90" t="str">
        <f t="shared" si="125"/>
        <v/>
      </c>
      <c r="BK74" s="90" t="str">
        <f t="shared" si="126"/>
        <v/>
      </c>
      <c r="BL74" s="90">
        <f t="shared" si="127"/>
        <v>4.333333333333333</v>
      </c>
    </row>
    <row r="75" spans="1:64" s="59" customFormat="1">
      <c r="A75" s="38">
        <v>69</v>
      </c>
      <c r="B75" s="39" t="s">
        <v>127</v>
      </c>
      <c r="C75" s="40" t="s">
        <v>245</v>
      </c>
      <c r="D75" s="41">
        <v>3</v>
      </c>
      <c r="E75" s="42"/>
      <c r="F75" s="43"/>
      <c r="G75" s="43">
        <f t="shared" si="89"/>
        <v>3</v>
      </c>
      <c r="H75" s="45">
        <v>1</v>
      </c>
      <c r="I75" s="45"/>
      <c r="J75" s="45"/>
      <c r="K75" s="45">
        <f t="shared" si="90"/>
        <v>1</v>
      </c>
      <c r="L75" s="45"/>
      <c r="M75" s="45"/>
      <c r="N75" s="45"/>
      <c r="O75" s="45">
        <f t="shared" si="91"/>
        <v>0</v>
      </c>
      <c r="P75" s="45"/>
      <c r="Q75" s="45"/>
      <c r="R75" s="45"/>
      <c r="S75" s="87">
        <f t="shared" si="128"/>
        <v>3</v>
      </c>
      <c r="T75" s="41">
        <f t="shared" si="93"/>
        <v>0</v>
      </c>
      <c r="U75" s="41">
        <f t="shared" si="94"/>
        <v>0</v>
      </c>
      <c r="V75" s="43">
        <f t="shared" si="83"/>
        <v>3</v>
      </c>
      <c r="W75" s="41">
        <f t="shared" si="95"/>
        <v>0</v>
      </c>
      <c r="X75" s="41">
        <f t="shared" si="96"/>
        <v>0</v>
      </c>
      <c r="Y75" s="41">
        <f t="shared" si="97"/>
        <v>0</v>
      </c>
      <c r="Z75" s="43">
        <f t="shared" si="98"/>
        <v>0</v>
      </c>
      <c r="AA75" s="81">
        <f t="shared" si="99"/>
        <v>0</v>
      </c>
      <c r="AB75" s="81">
        <f t="shared" si="100"/>
        <v>0</v>
      </c>
      <c r="AC75" s="81">
        <f t="shared" si="101"/>
        <v>0</v>
      </c>
      <c r="AD75" s="82">
        <f t="shared" si="84"/>
        <v>0</v>
      </c>
      <c r="AE75" s="81">
        <f t="shared" si="102"/>
        <v>3</v>
      </c>
      <c r="AF75" s="81">
        <f t="shared" si="103"/>
        <v>0</v>
      </c>
      <c r="AG75" s="81">
        <f t="shared" si="104"/>
        <v>0</v>
      </c>
      <c r="AH75" s="82">
        <f t="shared" si="85"/>
        <v>3</v>
      </c>
      <c r="AI75" s="41">
        <v>19957</v>
      </c>
      <c r="AJ75" s="41">
        <v>33979</v>
      </c>
      <c r="AK75" s="41">
        <v>36287</v>
      </c>
      <c r="AL75" s="43">
        <f t="shared" si="105"/>
        <v>90223</v>
      </c>
      <c r="AM75" s="81">
        <f t="shared" si="106"/>
        <v>0</v>
      </c>
      <c r="AN75" s="81">
        <f t="shared" si="107"/>
        <v>0</v>
      </c>
      <c r="AO75" s="81">
        <f t="shared" si="108"/>
        <v>0</v>
      </c>
      <c r="AP75" s="82">
        <f t="shared" si="109"/>
        <v>0</v>
      </c>
      <c r="AQ75" s="41">
        <v>1265</v>
      </c>
      <c r="AR75" s="41">
        <v>1441</v>
      </c>
      <c r="AS75" s="41">
        <v>1827</v>
      </c>
      <c r="AT75" s="43">
        <f t="shared" si="110"/>
        <v>4533</v>
      </c>
      <c r="AU75" s="81">
        <f t="shared" si="111"/>
        <v>0</v>
      </c>
      <c r="AV75" s="81">
        <f t="shared" si="112"/>
        <v>0</v>
      </c>
      <c r="AW75" s="81">
        <f t="shared" si="113"/>
        <v>0</v>
      </c>
      <c r="AX75" s="82">
        <f t="shared" si="114"/>
        <v>0</v>
      </c>
      <c r="AY75" s="81">
        <f t="shared" si="115"/>
        <v>0</v>
      </c>
      <c r="AZ75" s="81">
        <f t="shared" si="116"/>
        <v>0</v>
      </c>
      <c r="BA75" s="81">
        <f t="shared" si="117"/>
        <v>0</v>
      </c>
      <c r="BB75" s="82">
        <f t="shared" si="118"/>
        <v>0</v>
      </c>
      <c r="BC75" s="82">
        <v>58298</v>
      </c>
      <c r="BD75" s="82">
        <f t="shared" si="119"/>
        <v>58298</v>
      </c>
      <c r="BE75" s="82" t="str">
        <f t="shared" si="120"/>
        <v/>
      </c>
      <c r="BF75" s="82">
        <f t="shared" si="121"/>
        <v>58298</v>
      </c>
      <c r="BG75" s="82">
        <f t="shared" si="122"/>
        <v>58298</v>
      </c>
      <c r="BH75" s="82" t="str">
        <f t="shared" si="123"/>
        <v/>
      </c>
      <c r="BI75" s="90">
        <f t="shared" si="124"/>
        <v>3</v>
      </c>
      <c r="BJ75" s="90" t="str">
        <f t="shared" si="125"/>
        <v/>
      </c>
      <c r="BK75" s="90" t="str">
        <f t="shared" si="126"/>
        <v/>
      </c>
      <c r="BL75" s="90">
        <f t="shared" si="127"/>
        <v>3</v>
      </c>
    </row>
    <row r="76" spans="1:64" s="59" customFormat="1">
      <c r="A76" s="38">
        <v>70</v>
      </c>
      <c r="B76" s="39" t="s">
        <v>74</v>
      </c>
      <c r="C76" s="40" t="s">
        <v>246</v>
      </c>
      <c r="D76" s="41">
        <v>12</v>
      </c>
      <c r="E76" s="42">
        <v>37</v>
      </c>
      <c r="F76" s="43">
        <v>24</v>
      </c>
      <c r="G76" s="43">
        <f t="shared" si="89"/>
        <v>73</v>
      </c>
      <c r="H76" s="45">
        <v>2</v>
      </c>
      <c r="I76" s="45">
        <v>5</v>
      </c>
      <c r="J76" s="45">
        <v>2</v>
      </c>
      <c r="K76" s="45">
        <f t="shared" si="90"/>
        <v>9</v>
      </c>
      <c r="L76" s="45"/>
      <c r="M76" s="45"/>
      <c r="N76" s="45"/>
      <c r="O76" s="45">
        <f t="shared" si="91"/>
        <v>0</v>
      </c>
      <c r="P76" s="45"/>
      <c r="Q76" s="45"/>
      <c r="R76" s="45"/>
      <c r="S76" s="41">
        <f t="shared" si="92"/>
        <v>28</v>
      </c>
      <c r="T76" s="41">
        <f t="shared" si="93"/>
        <v>70</v>
      </c>
      <c r="U76" s="41">
        <f t="shared" si="94"/>
        <v>28</v>
      </c>
      <c r="V76" s="43">
        <f t="shared" si="83"/>
        <v>126</v>
      </c>
      <c r="W76" s="41">
        <f t="shared" si="95"/>
        <v>16</v>
      </c>
      <c r="X76" s="41">
        <f t="shared" si="96"/>
        <v>33</v>
      </c>
      <c r="Y76" s="41">
        <f t="shared" si="97"/>
        <v>4</v>
      </c>
      <c r="Z76" s="43">
        <f t="shared" si="98"/>
        <v>53</v>
      </c>
      <c r="AA76" s="81">
        <f t="shared" si="99"/>
        <v>12</v>
      </c>
      <c r="AB76" s="81">
        <f t="shared" si="100"/>
        <v>24.75</v>
      </c>
      <c r="AC76" s="81">
        <f t="shared" si="101"/>
        <v>3</v>
      </c>
      <c r="AD76" s="82">
        <f t="shared" si="84"/>
        <v>39.75</v>
      </c>
      <c r="AE76" s="81">
        <f t="shared" si="102"/>
        <v>24</v>
      </c>
      <c r="AF76" s="81">
        <f t="shared" si="103"/>
        <v>61.75</v>
      </c>
      <c r="AG76" s="81">
        <f t="shared" si="104"/>
        <v>27</v>
      </c>
      <c r="AH76" s="82">
        <f t="shared" si="85"/>
        <v>112.75</v>
      </c>
      <c r="AI76" s="41">
        <v>19957</v>
      </c>
      <c r="AJ76" s="41">
        <v>33979</v>
      </c>
      <c r="AK76" s="41">
        <v>36287</v>
      </c>
      <c r="AL76" s="43">
        <f t="shared" si="105"/>
        <v>90223</v>
      </c>
      <c r="AM76" s="81">
        <f t="shared" si="106"/>
        <v>239484</v>
      </c>
      <c r="AN76" s="81">
        <f t="shared" si="107"/>
        <v>840980.25</v>
      </c>
      <c r="AO76" s="81">
        <f t="shared" si="108"/>
        <v>108861</v>
      </c>
      <c r="AP76" s="82">
        <f t="shared" si="109"/>
        <v>1189325.25</v>
      </c>
      <c r="AQ76" s="41">
        <v>1265</v>
      </c>
      <c r="AR76" s="41">
        <v>1441</v>
      </c>
      <c r="AS76" s="41">
        <v>1827</v>
      </c>
      <c r="AT76" s="43">
        <f t="shared" si="110"/>
        <v>4533</v>
      </c>
      <c r="AU76" s="81">
        <f t="shared" si="111"/>
        <v>15180</v>
      </c>
      <c r="AV76" s="81">
        <f t="shared" si="112"/>
        <v>35664.75</v>
      </c>
      <c r="AW76" s="81">
        <f t="shared" si="113"/>
        <v>5481</v>
      </c>
      <c r="AX76" s="82">
        <f t="shared" si="114"/>
        <v>56325.75</v>
      </c>
      <c r="AY76" s="81">
        <f t="shared" si="115"/>
        <v>254664</v>
      </c>
      <c r="AZ76" s="81">
        <f t="shared" si="116"/>
        <v>876645</v>
      </c>
      <c r="BA76" s="81">
        <f t="shared" si="117"/>
        <v>114342</v>
      </c>
      <c r="BB76" s="82">
        <f t="shared" si="118"/>
        <v>1245651</v>
      </c>
      <c r="BC76" s="82">
        <v>1653178</v>
      </c>
      <c r="BD76" s="82">
        <f t="shared" si="119"/>
        <v>1653178</v>
      </c>
      <c r="BE76" s="82" t="str">
        <f t="shared" si="120"/>
        <v/>
      </c>
      <c r="BF76" s="82">
        <f t="shared" si="121"/>
        <v>407527</v>
      </c>
      <c r="BG76" s="82">
        <f t="shared" si="122"/>
        <v>407527</v>
      </c>
      <c r="BH76" s="82" t="str">
        <f t="shared" si="123"/>
        <v/>
      </c>
      <c r="BI76" s="90">
        <f t="shared" si="124"/>
        <v>6</v>
      </c>
      <c r="BJ76" s="90">
        <f t="shared" si="125"/>
        <v>7.4</v>
      </c>
      <c r="BK76" s="90">
        <f t="shared" si="126"/>
        <v>12</v>
      </c>
      <c r="BL76" s="90">
        <f t="shared" si="127"/>
        <v>8.1111111111111107</v>
      </c>
    </row>
    <row r="77" spans="1:64" s="59" customFormat="1">
      <c r="A77" s="38">
        <v>71</v>
      </c>
      <c r="B77" s="39" t="s">
        <v>41</v>
      </c>
      <c r="C77" s="40" t="s">
        <v>247</v>
      </c>
      <c r="D77" s="41">
        <v>6</v>
      </c>
      <c r="E77" s="42"/>
      <c r="F77" s="43"/>
      <c r="G77" s="43">
        <f t="shared" si="89"/>
        <v>6</v>
      </c>
      <c r="H77" s="45">
        <v>2</v>
      </c>
      <c r="I77" s="45"/>
      <c r="J77" s="45"/>
      <c r="K77" s="45">
        <f t="shared" si="90"/>
        <v>2</v>
      </c>
      <c r="L77" s="45"/>
      <c r="M77" s="45"/>
      <c r="N77" s="45"/>
      <c r="O77" s="45">
        <f t="shared" si="91"/>
        <v>0</v>
      </c>
      <c r="P77" s="45"/>
      <c r="Q77" s="45"/>
      <c r="R77" s="45"/>
      <c r="S77" s="87">
        <f t="shared" ref="S77" si="129">G77</f>
        <v>6</v>
      </c>
      <c r="T77" s="41">
        <f t="shared" si="93"/>
        <v>0</v>
      </c>
      <c r="U77" s="41">
        <f t="shared" si="94"/>
        <v>0</v>
      </c>
      <c r="V77" s="43">
        <f t="shared" si="83"/>
        <v>6</v>
      </c>
      <c r="W77" s="41">
        <f t="shared" si="95"/>
        <v>0</v>
      </c>
      <c r="X77" s="41">
        <f t="shared" si="96"/>
        <v>0</v>
      </c>
      <c r="Y77" s="41">
        <f t="shared" si="97"/>
        <v>0</v>
      </c>
      <c r="Z77" s="43">
        <f t="shared" si="98"/>
        <v>0</v>
      </c>
      <c r="AA77" s="81">
        <f t="shared" si="99"/>
        <v>0</v>
      </c>
      <c r="AB77" s="81">
        <f t="shared" si="100"/>
        <v>0</v>
      </c>
      <c r="AC77" s="81">
        <f t="shared" si="101"/>
        <v>0</v>
      </c>
      <c r="AD77" s="82">
        <f t="shared" si="84"/>
        <v>0</v>
      </c>
      <c r="AE77" s="81">
        <f t="shared" si="102"/>
        <v>6</v>
      </c>
      <c r="AF77" s="81">
        <f t="shared" si="103"/>
        <v>0</v>
      </c>
      <c r="AG77" s="81">
        <f t="shared" si="104"/>
        <v>0</v>
      </c>
      <c r="AH77" s="82">
        <f t="shared" si="85"/>
        <v>6</v>
      </c>
      <c r="AI77" s="41">
        <v>19957</v>
      </c>
      <c r="AJ77" s="41">
        <v>33979</v>
      </c>
      <c r="AK77" s="41">
        <v>36287</v>
      </c>
      <c r="AL77" s="43">
        <f t="shared" si="105"/>
        <v>90223</v>
      </c>
      <c r="AM77" s="81">
        <f t="shared" si="106"/>
        <v>0</v>
      </c>
      <c r="AN77" s="81">
        <f t="shared" si="107"/>
        <v>0</v>
      </c>
      <c r="AO77" s="81">
        <f t="shared" si="108"/>
        <v>0</v>
      </c>
      <c r="AP77" s="82">
        <f t="shared" si="109"/>
        <v>0</v>
      </c>
      <c r="AQ77" s="41">
        <v>1265</v>
      </c>
      <c r="AR77" s="41">
        <v>1441</v>
      </c>
      <c r="AS77" s="41">
        <v>1827</v>
      </c>
      <c r="AT77" s="43">
        <f t="shared" si="110"/>
        <v>4533</v>
      </c>
      <c r="AU77" s="81">
        <f t="shared" si="111"/>
        <v>0</v>
      </c>
      <c r="AV77" s="81">
        <f t="shared" si="112"/>
        <v>0</v>
      </c>
      <c r="AW77" s="81">
        <f t="shared" si="113"/>
        <v>0</v>
      </c>
      <c r="AX77" s="82">
        <f t="shared" si="114"/>
        <v>0</v>
      </c>
      <c r="AY77" s="81">
        <f t="shared" si="115"/>
        <v>0</v>
      </c>
      <c r="AZ77" s="81">
        <f t="shared" si="116"/>
        <v>0</v>
      </c>
      <c r="BA77" s="81">
        <f t="shared" si="117"/>
        <v>0</v>
      </c>
      <c r="BB77" s="82">
        <f t="shared" si="118"/>
        <v>0</v>
      </c>
      <c r="BC77" s="82">
        <v>39449</v>
      </c>
      <c r="BD77" s="82">
        <f t="shared" si="119"/>
        <v>39449</v>
      </c>
      <c r="BE77" s="82" t="str">
        <f t="shared" si="120"/>
        <v/>
      </c>
      <c r="BF77" s="82">
        <f t="shared" si="121"/>
        <v>39449</v>
      </c>
      <c r="BG77" s="82">
        <f t="shared" si="122"/>
        <v>39449</v>
      </c>
      <c r="BH77" s="82" t="str">
        <f t="shared" si="123"/>
        <v/>
      </c>
      <c r="BI77" s="90">
        <f t="shared" si="124"/>
        <v>3</v>
      </c>
      <c r="BJ77" s="90" t="str">
        <f t="shared" si="125"/>
        <v/>
      </c>
      <c r="BK77" s="90" t="str">
        <f t="shared" si="126"/>
        <v/>
      </c>
      <c r="BL77" s="90">
        <f t="shared" si="127"/>
        <v>3</v>
      </c>
    </row>
    <row r="78" spans="1:64" s="59" customFormat="1">
      <c r="A78" s="38">
        <v>72</v>
      </c>
      <c r="B78" s="39" t="s">
        <v>42</v>
      </c>
      <c r="C78" s="40" t="s">
        <v>248</v>
      </c>
      <c r="D78" s="41">
        <v>39</v>
      </c>
      <c r="E78" s="42"/>
      <c r="F78" s="43"/>
      <c r="G78" s="43">
        <f t="shared" si="89"/>
        <v>39</v>
      </c>
      <c r="H78" s="45">
        <v>4</v>
      </c>
      <c r="I78" s="45"/>
      <c r="J78" s="45"/>
      <c r="K78" s="45">
        <f t="shared" si="90"/>
        <v>4</v>
      </c>
      <c r="L78" s="45"/>
      <c r="M78" s="45"/>
      <c r="N78" s="45"/>
      <c r="O78" s="45">
        <f t="shared" si="91"/>
        <v>0</v>
      </c>
      <c r="P78" s="45"/>
      <c r="Q78" s="45"/>
      <c r="R78" s="45"/>
      <c r="S78" s="41">
        <f t="shared" si="92"/>
        <v>56</v>
      </c>
      <c r="T78" s="41">
        <f t="shared" si="93"/>
        <v>0</v>
      </c>
      <c r="U78" s="41">
        <f t="shared" si="94"/>
        <v>0</v>
      </c>
      <c r="V78" s="43">
        <f t="shared" si="83"/>
        <v>56</v>
      </c>
      <c r="W78" s="41">
        <f t="shared" si="95"/>
        <v>17</v>
      </c>
      <c r="X78" s="41">
        <f t="shared" si="96"/>
        <v>0</v>
      </c>
      <c r="Y78" s="41">
        <f t="shared" si="97"/>
        <v>0</v>
      </c>
      <c r="Z78" s="43">
        <f t="shared" si="98"/>
        <v>17</v>
      </c>
      <c r="AA78" s="81">
        <f t="shared" si="99"/>
        <v>12.75</v>
      </c>
      <c r="AB78" s="81">
        <f t="shared" si="100"/>
        <v>0</v>
      </c>
      <c r="AC78" s="81">
        <f t="shared" si="101"/>
        <v>0</v>
      </c>
      <c r="AD78" s="82">
        <f t="shared" si="84"/>
        <v>12.75</v>
      </c>
      <c r="AE78" s="81">
        <f t="shared" si="102"/>
        <v>51.75</v>
      </c>
      <c r="AF78" s="81">
        <f t="shared" si="103"/>
        <v>0</v>
      </c>
      <c r="AG78" s="81">
        <f t="shared" si="104"/>
        <v>0</v>
      </c>
      <c r="AH78" s="82">
        <f t="shared" si="85"/>
        <v>51.75</v>
      </c>
      <c r="AI78" s="41">
        <v>19957</v>
      </c>
      <c r="AJ78" s="41">
        <v>33979</v>
      </c>
      <c r="AK78" s="41">
        <v>36287</v>
      </c>
      <c r="AL78" s="43">
        <f t="shared" si="105"/>
        <v>90223</v>
      </c>
      <c r="AM78" s="81">
        <f t="shared" si="106"/>
        <v>254451.75</v>
      </c>
      <c r="AN78" s="81">
        <f t="shared" si="107"/>
        <v>0</v>
      </c>
      <c r="AO78" s="81">
        <f t="shared" si="108"/>
        <v>0</v>
      </c>
      <c r="AP78" s="82">
        <f t="shared" si="109"/>
        <v>254451.75</v>
      </c>
      <c r="AQ78" s="41">
        <v>1265</v>
      </c>
      <c r="AR78" s="41">
        <v>1441</v>
      </c>
      <c r="AS78" s="41">
        <v>1827</v>
      </c>
      <c r="AT78" s="43">
        <f t="shared" si="110"/>
        <v>4533</v>
      </c>
      <c r="AU78" s="81">
        <f t="shared" si="111"/>
        <v>16128.75</v>
      </c>
      <c r="AV78" s="81">
        <f t="shared" si="112"/>
        <v>0</v>
      </c>
      <c r="AW78" s="81">
        <f t="shared" si="113"/>
        <v>0</v>
      </c>
      <c r="AX78" s="82">
        <f t="shared" si="114"/>
        <v>16128.75</v>
      </c>
      <c r="AY78" s="81">
        <f t="shared" si="115"/>
        <v>270580.5</v>
      </c>
      <c r="AZ78" s="81">
        <f t="shared" si="116"/>
        <v>0</v>
      </c>
      <c r="BA78" s="81">
        <f t="shared" si="117"/>
        <v>0</v>
      </c>
      <c r="BB78" s="82">
        <f t="shared" si="118"/>
        <v>270580.5</v>
      </c>
      <c r="BC78" s="82">
        <v>89424</v>
      </c>
      <c r="BD78" s="82">
        <f t="shared" si="119"/>
        <v>89424</v>
      </c>
      <c r="BE78" s="82" t="str">
        <f t="shared" si="120"/>
        <v/>
      </c>
      <c r="BF78" s="82">
        <f t="shared" si="121"/>
        <v>-181156.5</v>
      </c>
      <c r="BG78" s="82" t="str">
        <f t="shared" si="122"/>
        <v/>
      </c>
      <c r="BH78" s="82">
        <f t="shared" si="123"/>
        <v>-181156.5</v>
      </c>
      <c r="BI78" s="90">
        <f t="shared" si="124"/>
        <v>9.75</v>
      </c>
      <c r="BJ78" s="90" t="str">
        <f t="shared" si="125"/>
        <v/>
      </c>
      <c r="BK78" s="90" t="str">
        <f t="shared" si="126"/>
        <v/>
      </c>
      <c r="BL78" s="90">
        <f t="shared" si="127"/>
        <v>9.75</v>
      </c>
    </row>
    <row r="79" spans="1:64" s="59" customFormat="1">
      <c r="A79" s="38">
        <v>73</v>
      </c>
      <c r="B79" s="39" t="s">
        <v>43</v>
      </c>
      <c r="C79" s="40" t="s">
        <v>249</v>
      </c>
      <c r="D79" s="41">
        <v>4</v>
      </c>
      <c r="E79" s="42"/>
      <c r="F79" s="43"/>
      <c r="G79" s="43">
        <f t="shared" si="89"/>
        <v>4</v>
      </c>
      <c r="H79" s="45">
        <v>1</v>
      </c>
      <c r="I79" s="45"/>
      <c r="J79" s="45"/>
      <c r="K79" s="45">
        <f t="shared" si="90"/>
        <v>1</v>
      </c>
      <c r="L79" s="45"/>
      <c r="M79" s="45"/>
      <c r="N79" s="45"/>
      <c r="O79" s="45">
        <f t="shared" si="91"/>
        <v>0</v>
      </c>
      <c r="P79" s="45"/>
      <c r="Q79" s="45"/>
      <c r="R79" s="45"/>
      <c r="S79" s="87">
        <f t="shared" ref="S79" si="130">G79</f>
        <v>4</v>
      </c>
      <c r="T79" s="41">
        <f t="shared" si="93"/>
        <v>0</v>
      </c>
      <c r="U79" s="41">
        <f t="shared" si="94"/>
        <v>0</v>
      </c>
      <c r="V79" s="43">
        <f t="shared" si="83"/>
        <v>4</v>
      </c>
      <c r="W79" s="41">
        <f t="shared" si="95"/>
        <v>0</v>
      </c>
      <c r="X79" s="41">
        <f t="shared" si="96"/>
        <v>0</v>
      </c>
      <c r="Y79" s="41">
        <f t="shared" si="97"/>
        <v>0</v>
      </c>
      <c r="Z79" s="43">
        <f t="shared" si="98"/>
        <v>0</v>
      </c>
      <c r="AA79" s="81">
        <f t="shared" si="99"/>
        <v>0</v>
      </c>
      <c r="AB79" s="81">
        <f t="shared" si="100"/>
        <v>0</v>
      </c>
      <c r="AC79" s="81">
        <f t="shared" si="101"/>
        <v>0</v>
      </c>
      <c r="AD79" s="82">
        <f t="shared" si="84"/>
        <v>0</v>
      </c>
      <c r="AE79" s="81">
        <f t="shared" si="102"/>
        <v>4</v>
      </c>
      <c r="AF79" s="81">
        <f t="shared" si="103"/>
        <v>0</v>
      </c>
      <c r="AG79" s="81">
        <f t="shared" si="104"/>
        <v>0</v>
      </c>
      <c r="AH79" s="82">
        <f t="shared" si="85"/>
        <v>4</v>
      </c>
      <c r="AI79" s="41">
        <v>19957</v>
      </c>
      <c r="AJ79" s="41">
        <v>33979</v>
      </c>
      <c r="AK79" s="41">
        <v>36287</v>
      </c>
      <c r="AL79" s="43">
        <f t="shared" si="105"/>
        <v>90223</v>
      </c>
      <c r="AM79" s="81">
        <f t="shared" si="106"/>
        <v>0</v>
      </c>
      <c r="AN79" s="81">
        <f t="shared" si="107"/>
        <v>0</v>
      </c>
      <c r="AO79" s="81">
        <f t="shared" si="108"/>
        <v>0</v>
      </c>
      <c r="AP79" s="82">
        <f t="shared" si="109"/>
        <v>0</v>
      </c>
      <c r="AQ79" s="41">
        <v>1265</v>
      </c>
      <c r="AR79" s="41">
        <v>1441</v>
      </c>
      <c r="AS79" s="41">
        <v>1827</v>
      </c>
      <c r="AT79" s="43">
        <f t="shared" si="110"/>
        <v>4533</v>
      </c>
      <c r="AU79" s="81">
        <f t="shared" si="111"/>
        <v>0</v>
      </c>
      <c r="AV79" s="81">
        <f t="shared" si="112"/>
        <v>0</v>
      </c>
      <c r="AW79" s="81">
        <f t="shared" si="113"/>
        <v>0</v>
      </c>
      <c r="AX79" s="82">
        <f t="shared" si="114"/>
        <v>0</v>
      </c>
      <c r="AY79" s="81">
        <f t="shared" si="115"/>
        <v>0</v>
      </c>
      <c r="AZ79" s="81">
        <f t="shared" si="116"/>
        <v>0</v>
      </c>
      <c r="BA79" s="81">
        <f t="shared" si="117"/>
        <v>0</v>
      </c>
      <c r="BB79" s="82">
        <f t="shared" si="118"/>
        <v>0</v>
      </c>
      <c r="BC79" s="82">
        <v>-30102</v>
      </c>
      <c r="BD79" s="82" t="str">
        <f t="shared" si="119"/>
        <v/>
      </c>
      <c r="BE79" s="82">
        <f t="shared" si="120"/>
        <v>-30102</v>
      </c>
      <c r="BF79" s="82">
        <f t="shared" si="121"/>
        <v>-30102</v>
      </c>
      <c r="BG79" s="82" t="str">
        <f t="shared" si="122"/>
        <v/>
      </c>
      <c r="BH79" s="82">
        <f t="shared" si="123"/>
        <v>-30102</v>
      </c>
      <c r="BI79" s="90">
        <f t="shared" si="124"/>
        <v>4</v>
      </c>
      <c r="BJ79" s="90" t="str">
        <f t="shared" si="125"/>
        <v/>
      </c>
      <c r="BK79" s="90" t="str">
        <f t="shared" si="126"/>
        <v/>
      </c>
      <c r="BL79" s="90">
        <f t="shared" si="127"/>
        <v>4</v>
      </c>
    </row>
    <row r="80" spans="1:64" s="59" customFormat="1">
      <c r="A80" s="38">
        <v>74</v>
      </c>
      <c r="B80" s="39" t="s">
        <v>75</v>
      </c>
      <c r="C80" s="40" t="s">
        <v>250</v>
      </c>
      <c r="D80" s="41">
        <v>20</v>
      </c>
      <c r="E80" s="42">
        <v>82</v>
      </c>
      <c r="F80" s="43">
        <v>30</v>
      </c>
      <c r="G80" s="43">
        <f t="shared" si="89"/>
        <v>132</v>
      </c>
      <c r="H80" s="45">
        <v>2</v>
      </c>
      <c r="I80" s="45">
        <v>5</v>
      </c>
      <c r="J80" s="45">
        <v>2</v>
      </c>
      <c r="K80" s="45">
        <f t="shared" si="90"/>
        <v>9</v>
      </c>
      <c r="L80" s="45"/>
      <c r="M80" s="45"/>
      <c r="N80" s="45"/>
      <c r="O80" s="45">
        <f t="shared" si="91"/>
        <v>0</v>
      </c>
      <c r="P80" s="45">
        <v>1</v>
      </c>
      <c r="Q80" s="45">
        <v>20</v>
      </c>
      <c r="R80" s="45"/>
      <c r="S80" s="41">
        <f t="shared" si="92"/>
        <v>28</v>
      </c>
      <c r="T80" s="41">
        <f t="shared" si="93"/>
        <v>70</v>
      </c>
      <c r="U80" s="41">
        <f t="shared" si="94"/>
        <v>28</v>
      </c>
      <c r="V80" s="43">
        <f t="shared" si="83"/>
        <v>126</v>
      </c>
      <c r="W80" s="41">
        <f t="shared" si="95"/>
        <v>8</v>
      </c>
      <c r="X80" s="41">
        <f t="shared" si="96"/>
        <v>-12</v>
      </c>
      <c r="Y80" s="41">
        <f t="shared" si="97"/>
        <v>-2</v>
      </c>
      <c r="Z80" s="43">
        <f t="shared" si="98"/>
        <v>-6</v>
      </c>
      <c r="AA80" s="81">
        <f t="shared" si="99"/>
        <v>6</v>
      </c>
      <c r="AB80" s="81">
        <f t="shared" si="100"/>
        <v>2.4000000000000004</v>
      </c>
      <c r="AC80" s="81">
        <f t="shared" si="101"/>
        <v>0.4</v>
      </c>
      <c r="AD80" s="82">
        <f t="shared" si="84"/>
        <v>8.8000000000000007</v>
      </c>
      <c r="AE80" s="81">
        <f t="shared" si="102"/>
        <v>26</v>
      </c>
      <c r="AF80" s="81">
        <f t="shared" si="103"/>
        <v>84.4</v>
      </c>
      <c r="AG80" s="81">
        <f t="shared" si="104"/>
        <v>30.4</v>
      </c>
      <c r="AH80" s="82">
        <f t="shared" si="85"/>
        <v>140.80000000000001</v>
      </c>
      <c r="AI80" s="41">
        <v>19957</v>
      </c>
      <c r="AJ80" s="41">
        <v>33979</v>
      </c>
      <c r="AK80" s="41">
        <v>36287</v>
      </c>
      <c r="AL80" s="43">
        <f t="shared" si="105"/>
        <v>90223</v>
      </c>
      <c r="AM80" s="81">
        <f t="shared" si="106"/>
        <v>119742</v>
      </c>
      <c r="AN80" s="81">
        <f t="shared" si="107"/>
        <v>81549.600000000006</v>
      </c>
      <c r="AO80" s="81">
        <f t="shared" si="108"/>
        <v>14514.800000000001</v>
      </c>
      <c r="AP80" s="82">
        <f t="shared" si="109"/>
        <v>215806.4</v>
      </c>
      <c r="AQ80" s="41">
        <v>1265</v>
      </c>
      <c r="AR80" s="41">
        <v>1441</v>
      </c>
      <c r="AS80" s="41">
        <v>1827</v>
      </c>
      <c r="AT80" s="43">
        <f t="shared" si="110"/>
        <v>4533</v>
      </c>
      <c r="AU80" s="81">
        <f t="shared" si="111"/>
        <v>7590</v>
      </c>
      <c r="AV80" s="81">
        <f t="shared" si="112"/>
        <v>3458.4000000000005</v>
      </c>
      <c r="AW80" s="81">
        <f t="shared" si="113"/>
        <v>730.80000000000007</v>
      </c>
      <c r="AX80" s="82">
        <f t="shared" si="114"/>
        <v>11779.2</v>
      </c>
      <c r="AY80" s="81">
        <f t="shared" si="115"/>
        <v>127332</v>
      </c>
      <c r="AZ80" s="81">
        <f t="shared" si="116"/>
        <v>85008</v>
      </c>
      <c r="BA80" s="81">
        <f t="shared" si="117"/>
        <v>15245.6</v>
      </c>
      <c r="BB80" s="82">
        <f t="shared" si="118"/>
        <v>227585.6</v>
      </c>
      <c r="BC80" s="82">
        <v>527334</v>
      </c>
      <c r="BD80" s="82">
        <f t="shared" si="119"/>
        <v>527334</v>
      </c>
      <c r="BE80" s="82" t="str">
        <f t="shared" si="120"/>
        <v/>
      </c>
      <c r="BF80" s="82">
        <f t="shared" si="121"/>
        <v>299748.40000000002</v>
      </c>
      <c r="BG80" s="82">
        <f t="shared" si="122"/>
        <v>299748.40000000002</v>
      </c>
      <c r="BH80" s="82" t="str">
        <f t="shared" si="123"/>
        <v/>
      </c>
      <c r="BI80" s="90">
        <f t="shared" si="124"/>
        <v>10</v>
      </c>
      <c r="BJ80" s="90">
        <f t="shared" si="125"/>
        <v>16.399999999999999</v>
      </c>
      <c r="BK80" s="90">
        <f t="shared" si="126"/>
        <v>15</v>
      </c>
      <c r="BL80" s="90">
        <f t="shared" si="127"/>
        <v>14.666666666666666</v>
      </c>
    </row>
    <row r="81" spans="1:64" s="59" customFormat="1">
      <c r="A81" s="38">
        <v>75</v>
      </c>
      <c r="B81" s="39" t="s">
        <v>44</v>
      </c>
      <c r="C81" s="40" t="s">
        <v>251</v>
      </c>
      <c r="D81" s="41">
        <v>13</v>
      </c>
      <c r="E81" s="42"/>
      <c r="F81" s="43"/>
      <c r="G81" s="43">
        <f t="shared" si="89"/>
        <v>13</v>
      </c>
      <c r="H81" s="45">
        <v>3</v>
      </c>
      <c r="I81" s="45"/>
      <c r="J81" s="45"/>
      <c r="K81" s="45">
        <f t="shared" si="90"/>
        <v>3</v>
      </c>
      <c r="L81" s="45"/>
      <c r="M81" s="45"/>
      <c r="N81" s="45"/>
      <c r="O81" s="45">
        <f t="shared" si="91"/>
        <v>0</v>
      </c>
      <c r="P81" s="45"/>
      <c r="Q81" s="45"/>
      <c r="R81" s="45"/>
      <c r="S81" s="87">
        <f t="shared" ref="S81" si="131">G81</f>
        <v>13</v>
      </c>
      <c r="T81" s="41">
        <f t="shared" si="93"/>
        <v>0</v>
      </c>
      <c r="U81" s="41">
        <f t="shared" si="94"/>
        <v>0</v>
      </c>
      <c r="V81" s="43">
        <f t="shared" si="83"/>
        <v>13</v>
      </c>
      <c r="W81" s="41">
        <f t="shared" si="95"/>
        <v>0</v>
      </c>
      <c r="X81" s="41">
        <f t="shared" si="96"/>
        <v>0</v>
      </c>
      <c r="Y81" s="41">
        <f t="shared" si="97"/>
        <v>0</v>
      </c>
      <c r="Z81" s="43">
        <f t="shared" si="98"/>
        <v>0</v>
      </c>
      <c r="AA81" s="81">
        <f t="shared" si="99"/>
        <v>0</v>
      </c>
      <c r="AB81" s="81">
        <f t="shared" si="100"/>
        <v>0</v>
      </c>
      <c r="AC81" s="81">
        <f t="shared" si="101"/>
        <v>0</v>
      </c>
      <c r="AD81" s="82">
        <f t="shared" si="84"/>
        <v>0</v>
      </c>
      <c r="AE81" s="81">
        <f t="shared" si="102"/>
        <v>13</v>
      </c>
      <c r="AF81" s="81">
        <f t="shared" si="103"/>
        <v>0</v>
      </c>
      <c r="AG81" s="81">
        <f t="shared" si="104"/>
        <v>0</v>
      </c>
      <c r="AH81" s="82">
        <f t="shared" si="85"/>
        <v>13</v>
      </c>
      <c r="AI81" s="41">
        <v>19957</v>
      </c>
      <c r="AJ81" s="41">
        <v>33979</v>
      </c>
      <c r="AK81" s="41">
        <v>36287</v>
      </c>
      <c r="AL81" s="43">
        <f t="shared" si="105"/>
        <v>90223</v>
      </c>
      <c r="AM81" s="81">
        <f t="shared" si="106"/>
        <v>0</v>
      </c>
      <c r="AN81" s="81">
        <f t="shared" si="107"/>
        <v>0</v>
      </c>
      <c r="AO81" s="81">
        <f t="shared" si="108"/>
        <v>0</v>
      </c>
      <c r="AP81" s="82">
        <f t="shared" si="109"/>
        <v>0</v>
      </c>
      <c r="AQ81" s="41">
        <v>1265</v>
      </c>
      <c r="AR81" s="41">
        <v>1441</v>
      </c>
      <c r="AS81" s="41">
        <v>1827</v>
      </c>
      <c r="AT81" s="43">
        <f t="shared" si="110"/>
        <v>4533</v>
      </c>
      <c r="AU81" s="81">
        <f t="shared" si="111"/>
        <v>0</v>
      </c>
      <c r="AV81" s="81">
        <f t="shared" si="112"/>
        <v>0</v>
      </c>
      <c r="AW81" s="81">
        <f t="shared" si="113"/>
        <v>0</v>
      </c>
      <c r="AX81" s="82">
        <f t="shared" si="114"/>
        <v>0</v>
      </c>
      <c r="AY81" s="81">
        <f t="shared" si="115"/>
        <v>0</v>
      </c>
      <c r="AZ81" s="81">
        <f t="shared" si="116"/>
        <v>0</v>
      </c>
      <c r="BA81" s="81">
        <f t="shared" si="117"/>
        <v>0</v>
      </c>
      <c r="BB81" s="82">
        <f t="shared" si="118"/>
        <v>0</v>
      </c>
      <c r="BC81" s="82">
        <v>39796</v>
      </c>
      <c r="BD81" s="82">
        <f t="shared" si="119"/>
        <v>39796</v>
      </c>
      <c r="BE81" s="82" t="str">
        <f t="shared" si="120"/>
        <v/>
      </c>
      <c r="BF81" s="82">
        <f t="shared" si="121"/>
        <v>39796</v>
      </c>
      <c r="BG81" s="82">
        <f t="shared" si="122"/>
        <v>39796</v>
      </c>
      <c r="BH81" s="82" t="str">
        <f t="shared" si="123"/>
        <v/>
      </c>
      <c r="BI81" s="90">
        <f t="shared" si="124"/>
        <v>4.333333333333333</v>
      </c>
      <c r="BJ81" s="90" t="str">
        <f t="shared" si="125"/>
        <v/>
      </c>
      <c r="BK81" s="90" t="str">
        <f t="shared" si="126"/>
        <v/>
      </c>
      <c r="BL81" s="90">
        <f t="shared" si="127"/>
        <v>4.333333333333333</v>
      </c>
    </row>
    <row r="82" spans="1:64" s="59" customFormat="1">
      <c r="A82" s="38">
        <v>76</v>
      </c>
      <c r="B82" s="39" t="s">
        <v>76</v>
      </c>
      <c r="C82" s="40" t="s">
        <v>252</v>
      </c>
      <c r="D82" s="41">
        <v>31</v>
      </c>
      <c r="E82" s="42">
        <v>84</v>
      </c>
      <c r="F82" s="43">
        <v>33</v>
      </c>
      <c r="G82" s="43">
        <f t="shared" si="89"/>
        <v>148</v>
      </c>
      <c r="H82" s="45">
        <v>3</v>
      </c>
      <c r="I82" s="45">
        <v>5</v>
      </c>
      <c r="J82" s="45">
        <v>2</v>
      </c>
      <c r="K82" s="45">
        <f t="shared" si="90"/>
        <v>10</v>
      </c>
      <c r="L82" s="45"/>
      <c r="M82" s="45"/>
      <c r="N82" s="45"/>
      <c r="O82" s="45">
        <f t="shared" si="91"/>
        <v>0</v>
      </c>
      <c r="P82" s="45">
        <v>1</v>
      </c>
      <c r="Q82" s="45">
        <v>25</v>
      </c>
      <c r="R82" s="45"/>
      <c r="S82" s="41">
        <f t="shared" si="92"/>
        <v>42</v>
      </c>
      <c r="T82" s="41">
        <f t="shared" si="93"/>
        <v>70</v>
      </c>
      <c r="U82" s="41">
        <f t="shared" si="94"/>
        <v>28</v>
      </c>
      <c r="V82" s="43">
        <f t="shared" si="83"/>
        <v>140</v>
      </c>
      <c r="W82" s="41">
        <f t="shared" si="95"/>
        <v>11</v>
      </c>
      <c r="X82" s="41">
        <f t="shared" si="96"/>
        <v>-14</v>
      </c>
      <c r="Y82" s="41">
        <f t="shared" si="97"/>
        <v>-5</v>
      </c>
      <c r="Z82" s="43">
        <f t="shared" si="98"/>
        <v>-8</v>
      </c>
      <c r="AA82" s="81">
        <f t="shared" si="99"/>
        <v>8.25</v>
      </c>
      <c r="AB82" s="81">
        <f t="shared" si="100"/>
        <v>2.8000000000000003</v>
      </c>
      <c r="AC82" s="81">
        <f t="shared" si="101"/>
        <v>1</v>
      </c>
      <c r="AD82" s="82">
        <f t="shared" si="84"/>
        <v>12.05</v>
      </c>
      <c r="AE82" s="81">
        <f t="shared" si="102"/>
        <v>39.25</v>
      </c>
      <c r="AF82" s="81">
        <f t="shared" si="103"/>
        <v>86.8</v>
      </c>
      <c r="AG82" s="81">
        <f t="shared" si="104"/>
        <v>34</v>
      </c>
      <c r="AH82" s="82">
        <f t="shared" si="85"/>
        <v>160.05000000000001</v>
      </c>
      <c r="AI82" s="41">
        <v>19957</v>
      </c>
      <c r="AJ82" s="41">
        <v>33979</v>
      </c>
      <c r="AK82" s="41">
        <v>36287</v>
      </c>
      <c r="AL82" s="43">
        <f t="shared" si="105"/>
        <v>90223</v>
      </c>
      <c r="AM82" s="81">
        <f t="shared" si="106"/>
        <v>164645.25</v>
      </c>
      <c r="AN82" s="81">
        <f t="shared" si="107"/>
        <v>95141.200000000012</v>
      </c>
      <c r="AO82" s="81">
        <f t="shared" si="108"/>
        <v>36287</v>
      </c>
      <c r="AP82" s="82">
        <f t="shared" si="109"/>
        <v>296073.45</v>
      </c>
      <c r="AQ82" s="41">
        <v>1265</v>
      </c>
      <c r="AR82" s="41">
        <v>1441</v>
      </c>
      <c r="AS82" s="41">
        <v>1827</v>
      </c>
      <c r="AT82" s="43">
        <f t="shared" si="110"/>
        <v>4533</v>
      </c>
      <c r="AU82" s="81">
        <f t="shared" si="111"/>
        <v>10436.25</v>
      </c>
      <c r="AV82" s="81">
        <f t="shared" si="112"/>
        <v>4034.8</v>
      </c>
      <c r="AW82" s="81">
        <f t="shared" si="113"/>
        <v>1827</v>
      </c>
      <c r="AX82" s="82">
        <f t="shared" si="114"/>
        <v>16298.05</v>
      </c>
      <c r="AY82" s="81">
        <f t="shared" si="115"/>
        <v>175081.5</v>
      </c>
      <c r="AZ82" s="81">
        <f t="shared" si="116"/>
        <v>99176.000000000015</v>
      </c>
      <c r="BA82" s="81">
        <f t="shared" si="117"/>
        <v>38114</v>
      </c>
      <c r="BB82" s="82">
        <f t="shared" si="118"/>
        <v>312371.5</v>
      </c>
      <c r="BC82" s="82">
        <v>816299</v>
      </c>
      <c r="BD82" s="82">
        <f t="shared" si="119"/>
        <v>816299</v>
      </c>
      <c r="BE82" s="82" t="str">
        <f t="shared" si="120"/>
        <v/>
      </c>
      <c r="BF82" s="82">
        <f t="shared" si="121"/>
        <v>503927.5</v>
      </c>
      <c r="BG82" s="82">
        <f t="shared" si="122"/>
        <v>503927.5</v>
      </c>
      <c r="BH82" s="82" t="str">
        <f t="shared" si="123"/>
        <v/>
      </c>
      <c r="BI82" s="90">
        <f t="shared" si="124"/>
        <v>10.333333333333334</v>
      </c>
      <c r="BJ82" s="90">
        <f t="shared" si="125"/>
        <v>16.8</v>
      </c>
      <c r="BK82" s="90">
        <f t="shared" si="126"/>
        <v>16.5</v>
      </c>
      <c r="BL82" s="90">
        <f t="shared" si="127"/>
        <v>14.8</v>
      </c>
    </row>
    <row r="83" spans="1:64" s="59" customFormat="1">
      <c r="A83" s="38">
        <v>77</v>
      </c>
      <c r="B83" s="39" t="s">
        <v>45</v>
      </c>
      <c r="C83" s="40" t="s">
        <v>253</v>
      </c>
      <c r="D83" s="41">
        <v>4</v>
      </c>
      <c r="E83" s="42"/>
      <c r="F83" s="43"/>
      <c r="G83" s="43">
        <f t="shared" si="89"/>
        <v>4</v>
      </c>
      <c r="H83" s="45">
        <v>1</v>
      </c>
      <c r="I83" s="45"/>
      <c r="J83" s="45"/>
      <c r="K83" s="45">
        <f t="shared" si="90"/>
        <v>1</v>
      </c>
      <c r="L83" s="45"/>
      <c r="M83" s="45"/>
      <c r="N83" s="45"/>
      <c r="O83" s="45">
        <f t="shared" si="91"/>
        <v>0</v>
      </c>
      <c r="P83" s="45"/>
      <c r="Q83" s="45"/>
      <c r="R83" s="45"/>
      <c r="S83" s="87">
        <f t="shared" ref="S83" si="132">G83</f>
        <v>4</v>
      </c>
      <c r="T83" s="41">
        <f t="shared" si="93"/>
        <v>0</v>
      </c>
      <c r="U83" s="41">
        <f t="shared" si="94"/>
        <v>0</v>
      </c>
      <c r="V83" s="43">
        <f t="shared" si="83"/>
        <v>4</v>
      </c>
      <c r="W83" s="41">
        <f t="shared" si="95"/>
        <v>0</v>
      </c>
      <c r="X83" s="41">
        <f t="shared" si="96"/>
        <v>0</v>
      </c>
      <c r="Y83" s="41">
        <f t="shared" si="97"/>
        <v>0</v>
      </c>
      <c r="Z83" s="43">
        <f t="shared" si="98"/>
        <v>0</v>
      </c>
      <c r="AA83" s="81">
        <f t="shared" si="99"/>
        <v>0</v>
      </c>
      <c r="AB83" s="81">
        <f t="shared" si="100"/>
        <v>0</v>
      </c>
      <c r="AC83" s="81">
        <f t="shared" si="101"/>
        <v>0</v>
      </c>
      <c r="AD83" s="82">
        <f t="shared" si="84"/>
        <v>0</v>
      </c>
      <c r="AE83" s="81">
        <f t="shared" si="102"/>
        <v>4</v>
      </c>
      <c r="AF83" s="81">
        <f t="shared" si="103"/>
        <v>0</v>
      </c>
      <c r="AG83" s="81">
        <f t="shared" si="104"/>
        <v>0</v>
      </c>
      <c r="AH83" s="82">
        <f t="shared" si="85"/>
        <v>4</v>
      </c>
      <c r="AI83" s="41">
        <v>19957</v>
      </c>
      <c r="AJ83" s="41">
        <v>33979</v>
      </c>
      <c r="AK83" s="41">
        <v>36287</v>
      </c>
      <c r="AL83" s="43">
        <f t="shared" si="105"/>
        <v>90223</v>
      </c>
      <c r="AM83" s="81">
        <f t="shared" si="106"/>
        <v>0</v>
      </c>
      <c r="AN83" s="81">
        <f t="shared" si="107"/>
        <v>0</v>
      </c>
      <c r="AO83" s="81">
        <f t="shared" si="108"/>
        <v>0</v>
      </c>
      <c r="AP83" s="82">
        <f t="shared" si="109"/>
        <v>0</v>
      </c>
      <c r="AQ83" s="41">
        <v>1265</v>
      </c>
      <c r="AR83" s="41">
        <v>1441</v>
      </c>
      <c r="AS83" s="41">
        <v>1827</v>
      </c>
      <c r="AT83" s="43">
        <f t="shared" si="110"/>
        <v>4533</v>
      </c>
      <c r="AU83" s="81">
        <f t="shared" si="111"/>
        <v>0</v>
      </c>
      <c r="AV83" s="81">
        <f t="shared" si="112"/>
        <v>0</v>
      </c>
      <c r="AW83" s="81">
        <f t="shared" si="113"/>
        <v>0</v>
      </c>
      <c r="AX83" s="82">
        <f t="shared" si="114"/>
        <v>0</v>
      </c>
      <c r="AY83" s="81">
        <f t="shared" si="115"/>
        <v>0</v>
      </c>
      <c r="AZ83" s="81">
        <f t="shared" si="116"/>
        <v>0</v>
      </c>
      <c r="BA83" s="81">
        <f t="shared" si="117"/>
        <v>0</v>
      </c>
      <c r="BB83" s="82">
        <f t="shared" si="118"/>
        <v>0</v>
      </c>
      <c r="BC83" s="82">
        <v>-231402</v>
      </c>
      <c r="BD83" s="82" t="str">
        <f t="shared" si="119"/>
        <v/>
      </c>
      <c r="BE83" s="82">
        <f t="shared" si="120"/>
        <v>-231402</v>
      </c>
      <c r="BF83" s="82">
        <f t="shared" si="121"/>
        <v>-231402</v>
      </c>
      <c r="BG83" s="82" t="str">
        <f t="shared" si="122"/>
        <v/>
      </c>
      <c r="BH83" s="82">
        <f t="shared" si="123"/>
        <v>-231402</v>
      </c>
      <c r="BI83" s="90">
        <f t="shared" si="124"/>
        <v>4</v>
      </c>
      <c r="BJ83" s="90" t="str">
        <f t="shared" si="125"/>
        <v/>
      </c>
      <c r="BK83" s="90" t="str">
        <f t="shared" si="126"/>
        <v/>
      </c>
      <c r="BL83" s="90">
        <f t="shared" si="127"/>
        <v>4</v>
      </c>
    </row>
    <row r="84" spans="1:64" s="59" customFormat="1">
      <c r="A84" s="74"/>
      <c r="B84" s="74"/>
      <c r="C84" s="74"/>
      <c r="D84" s="74"/>
      <c r="E84" s="74"/>
      <c r="G84" s="34"/>
      <c r="S84" s="74"/>
      <c r="T84" s="74"/>
      <c r="V84" s="34"/>
      <c r="W84" s="74"/>
      <c r="X84" s="74"/>
      <c r="Z84" s="34"/>
      <c r="AA84" s="74"/>
      <c r="AB84" s="74"/>
      <c r="AD84" s="34"/>
      <c r="AE84" s="74"/>
      <c r="AF84" s="74"/>
      <c r="AH84" s="34"/>
      <c r="AI84" s="74"/>
      <c r="AJ84" s="74"/>
      <c r="AL84" s="34"/>
      <c r="AM84" s="74"/>
      <c r="AN84" s="74"/>
      <c r="AP84" s="34"/>
      <c r="AQ84" s="74"/>
      <c r="AR84" s="74"/>
      <c r="AT84" s="34"/>
      <c r="AU84" s="74"/>
      <c r="AV84" s="74"/>
      <c r="AX84" s="34"/>
      <c r="AY84" s="74"/>
      <c r="AZ84" s="74"/>
      <c r="BB84" s="34"/>
    </row>
    <row r="85" spans="1:64" s="59" customFormat="1">
      <c r="A85" s="74"/>
      <c r="B85" s="74"/>
      <c r="C85" s="74"/>
      <c r="D85" s="74"/>
      <c r="E85" s="75"/>
      <c r="G85" s="34"/>
      <c r="K85" s="34"/>
      <c r="Q85" s="76"/>
      <c r="S85" s="74"/>
      <c r="T85" s="75"/>
      <c r="V85" s="34"/>
      <c r="W85" s="74"/>
      <c r="X85" s="75"/>
      <c r="Z85" s="34"/>
      <c r="AA85" s="74"/>
      <c r="AB85" s="75"/>
      <c r="AD85" s="34"/>
      <c r="AE85" s="74"/>
      <c r="AF85" s="75"/>
      <c r="AH85" s="34"/>
      <c r="AI85" s="74"/>
      <c r="AJ85" s="75"/>
      <c r="AL85" s="34"/>
      <c r="AM85" s="74"/>
      <c r="AN85" s="75"/>
      <c r="AP85" s="34"/>
      <c r="AQ85" s="74"/>
      <c r="AR85" s="75"/>
      <c r="AT85" s="34"/>
      <c r="AU85" s="74"/>
      <c r="AV85" s="75"/>
      <c r="AX85" s="34"/>
      <c r="AY85" s="74"/>
      <c r="AZ85" s="75"/>
      <c r="BB85" s="34"/>
      <c r="BL85" s="34"/>
    </row>
    <row r="86" spans="1:64" s="59" customFormat="1">
      <c r="A86" s="74"/>
      <c r="B86" s="74"/>
      <c r="C86" s="74"/>
      <c r="D86" s="74"/>
      <c r="E86" s="74"/>
      <c r="G86" s="34"/>
      <c r="S86" s="74"/>
      <c r="T86" s="74"/>
      <c r="V86" s="34"/>
      <c r="W86" s="74"/>
      <c r="X86" s="74"/>
      <c r="Z86" s="34"/>
      <c r="AA86" s="74"/>
      <c r="AB86" s="74"/>
      <c r="AD86" s="34"/>
      <c r="AE86" s="74"/>
      <c r="AF86" s="74"/>
      <c r="AH86" s="34"/>
      <c r="AI86" s="74"/>
      <c r="AJ86" s="74"/>
      <c r="AL86" s="34"/>
      <c r="AM86" s="74"/>
      <c r="AN86" s="74"/>
      <c r="AP86" s="34"/>
      <c r="AQ86" s="74"/>
      <c r="AR86" s="74"/>
      <c r="AT86" s="34"/>
      <c r="AU86" s="74"/>
      <c r="AV86" s="74"/>
      <c r="AX86" s="34"/>
      <c r="AY86" s="74"/>
      <c r="AZ86" s="74"/>
      <c r="BB86" s="34"/>
    </row>
    <row r="87" spans="1:64" s="59" customFormat="1">
      <c r="A87" s="74"/>
      <c r="B87" s="74"/>
      <c r="C87" s="74"/>
      <c r="D87" s="74"/>
      <c r="E87" s="74"/>
      <c r="G87" s="34"/>
      <c r="K87" s="34"/>
      <c r="S87" s="74"/>
      <c r="T87" s="74"/>
      <c r="V87" s="34"/>
      <c r="W87" s="74"/>
      <c r="X87" s="74"/>
      <c r="Z87" s="34"/>
      <c r="AA87" s="74"/>
      <c r="AB87" s="74"/>
      <c r="AD87" s="34"/>
      <c r="AE87" s="74"/>
      <c r="AF87" s="74"/>
      <c r="AH87" s="34"/>
      <c r="AI87" s="74"/>
      <c r="AJ87" s="74"/>
      <c r="AL87" s="34"/>
      <c r="AM87" s="74"/>
      <c r="AN87" s="74"/>
      <c r="AP87" s="34"/>
      <c r="AQ87" s="74"/>
      <c r="AR87" s="74"/>
      <c r="AT87" s="34"/>
      <c r="AU87" s="74"/>
      <c r="AV87" s="74"/>
      <c r="AX87" s="34"/>
      <c r="AY87" s="74"/>
      <c r="AZ87" s="74"/>
      <c r="BB87" s="34"/>
      <c r="BL87" s="34"/>
    </row>
    <row r="88" spans="1:64" s="59" customFormat="1">
      <c r="A88" s="74"/>
      <c r="B88" s="74"/>
      <c r="C88" s="74"/>
      <c r="D88" s="74"/>
      <c r="E88" s="74"/>
      <c r="S88" s="74"/>
      <c r="T88" s="74"/>
      <c r="W88" s="74"/>
      <c r="X88" s="74"/>
      <c r="AA88" s="74"/>
      <c r="AB88" s="74"/>
      <c r="AE88" s="74"/>
      <c r="AF88" s="74"/>
      <c r="AI88" s="74"/>
      <c r="AJ88" s="74"/>
      <c r="AM88" s="74"/>
      <c r="AN88" s="74"/>
      <c r="AQ88" s="74"/>
      <c r="AR88" s="74"/>
      <c r="AU88" s="74"/>
      <c r="AV88" s="74"/>
      <c r="AY88" s="74"/>
      <c r="AZ88" s="74"/>
    </row>
    <row r="89" spans="1:64" s="59" customFormat="1">
      <c r="A89" s="74"/>
      <c r="B89" s="74"/>
      <c r="C89" s="74"/>
      <c r="D89" s="74"/>
      <c r="E89" s="74"/>
      <c r="S89" s="74"/>
      <c r="T89" s="74"/>
      <c r="W89" s="74"/>
      <c r="X89" s="74"/>
      <c r="AA89" s="74"/>
      <c r="AB89" s="74"/>
      <c r="AE89" s="74"/>
      <c r="AF89" s="74"/>
      <c r="AI89" s="74"/>
      <c r="AJ89" s="74"/>
      <c r="AM89" s="74"/>
      <c r="AN89" s="74"/>
      <c r="AQ89" s="74"/>
      <c r="AR89" s="74"/>
      <c r="AU89" s="74"/>
      <c r="AV89" s="74"/>
      <c r="AY89" s="74"/>
      <c r="AZ89" s="74"/>
    </row>
    <row r="90" spans="1:64" s="59" customFormat="1">
      <c r="A90" s="74"/>
      <c r="B90" s="74"/>
      <c r="C90" s="74"/>
      <c r="D90" s="74"/>
      <c r="E90" s="74"/>
      <c r="S90" s="74"/>
      <c r="T90" s="74"/>
      <c r="W90" s="74"/>
      <c r="X90" s="74"/>
      <c r="AA90" s="74"/>
      <c r="AB90" s="74"/>
      <c r="AE90" s="74"/>
      <c r="AF90" s="74"/>
      <c r="AI90" s="74"/>
      <c r="AJ90" s="74"/>
      <c r="AM90" s="74"/>
      <c r="AN90" s="74"/>
      <c r="AQ90" s="74"/>
      <c r="AR90" s="74"/>
      <c r="AU90" s="74"/>
      <c r="AV90" s="74"/>
      <c r="AY90" s="74"/>
      <c r="AZ90" s="74"/>
    </row>
    <row r="91" spans="1:64" s="59" customFormat="1">
      <c r="A91" s="74"/>
      <c r="B91" s="74"/>
      <c r="C91" s="74"/>
      <c r="D91" s="74"/>
      <c r="E91" s="74"/>
      <c r="S91" s="74"/>
      <c r="T91" s="74"/>
      <c r="W91" s="74"/>
      <c r="X91" s="74"/>
      <c r="AA91" s="74"/>
      <c r="AB91" s="74"/>
      <c r="AE91" s="74"/>
      <c r="AF91" s="74"/>
      <c r="AI91" s="74"/>
      <c r="AJ91" s="74"/>
      <c r="AM91" s="74"/>
      <c r="AN91" s="74"/>
      <c r="AQ91" s="74"/>
      <c r="AR91" s="74"/>
      <c r="AU91" s="74"/>
      <c r="AV91" s="74"/>
      <c r="AY91" s="74"/>
      <c r="AZ91" s="74"/>
    </row>
    <row r="92" spans="1:64" s="59" customFormat="1">
      <c r="A92" s="74"/>
      <c r="B92" s="74"/>
      <c r="C92" s="74"/>
      <c r="D92" s="74"/>
      <c r="E92" s="74"/>
      <c r="S92" s="74"/>
      <c r="T92" s="74"/>
      <c r="W92" s="74"/>
      <c r="X92" s="74"/>
      <c r="AA92" s="74"/>
      <c r="AB92" s="74"/>
      <c r="AE92" s="74"/>
      <c r="AF92" s="74"/>
      <c r="AI92" s="74"/>
      <c r="AJ92" s="74"/>
      <c r="AM92" s="74"/>
      <c r="AN92" s="74"/>
      <c r="AQ92" s="74"/>
      <c r="AR92" s="74"/>
      <c r="AU92" s="74"/>
      <c r="AV92" s="74"/>
      <c r="AY92" s="74"/>
      <c r="AZ92" s="74"/>
    </row>
    <row r="93" spans="1:64" s="59" customFormat="1">
      <c r="A93" s="74"/>
      <c r="B93" s="74"/>
      <c r="C93" s="74"/>
      <c r="D93" s="74"/>
      <c r="E93" s="74"/>
      <c r="S93" s="74"/>
      <c r="T93" s="74"/>
      <c r="W93" s="74"/>
      <c r="X93" s="74"/>
      <c r="AA93" s="74"/>
      <c r="AB93" s="74"/>
      <c r="AE93" s="74"/>
      <c r="AF93" s="74"/>
      <c r="AI93" s="74"/>
      <c r="AJ93" s="74"/>
      <c r="AM93" s="74"/>
      <c r="AN93" s="74"/>
      <c r="AQ93" s="74"/>
      <c r="AR93" s="74"/>
      <c r="AU93" s="74"/>
      <c r="AV93" s="74"/>
      <c r="AY93" s="74"/>
      <c r="AZ93" s="74"/>
    </row>
    <row r="94" spans="1:64" s="59" customFormat="1">
      <c r="A94" s="74"/>
      <c r="B94" s="74"/>
      <c r="C94" s="74"/>
      <c r="D94" s="74"/>
      <c r="E94" s="74"/>
      <c r="S94" s="74"/>
      <c r="T94" s="74"/>
      <c r="W94" s="74"/>
      <c r="X94" s="74"/>
      <c r="AA94" s="74"/>
      <c r="AB94" s="74"/>
      <c r="AE94" s="74"/>
      <c r="AF94" s="74"/>
      <c r="AI94" s="74"/>
      <c r="AJ94" s="74"/>
      <c r="AM94" s="74"/>
      <c r="AN94" s="74"/>
      <c r="AQ94" s="74"/>
      <c r="AR94" s="74"/>
      <c r="AU94" s="74"/>
      <c r="AV94" s="74"/>
      <c r="AY94" s="74"/>
      <c r="AZ94" s="74"/>
    </row>
    <row r="95" spans="1:64" s="59" customFormat="1">
      <c r="A95" s="74"/>
      <c r="B95" s="74"/>
      <c r="C95" s="74"/>
      <c r="D95" s="74"/>
      <c r="E95" s="74"/>
      <c r="S95" s="74"/>
      <c r="T95" s="74"/>
      <c r="W95" s="74"/>
      <c r="X95" s="74"/>
      <c r="AA95" s="74"/>
      <c r="AB95" s="74"/>
      <c r="AE95" s="74"/>
      <c r="AF95" s="74"/>
      <c r="AI95" s="74"/>
      <c r="AJ95" s="74"/>
      <c r="AM95" s="74"/>
      <c r="AN95" s="74"/>
      <c r="AQ95" s="74"/>
      <c r="AR95" s="74"/>
      <c r="AU95" s="74"/>
      <c r="AV95" s="74"/>
      <c r="AY95" s="74"/>
      <c r="AZ95" s="74"/>
    </row>
    <row r="96" spans="1:64" s="59" customFormat="1">
      <c r="A96" s="74"/>
      <c r="B96" s="74"/>
      <c r="C96" s="74"/>
      <c r="D96" s="74"/>
      <c r="E96" s="74"/>
      <c r="S96" s="74"/>
      <c r="T96" s="74"/>
      <c r="W96" s="74"/>
      <c r="X96" s="74"/>
      <c r="AA96" s="74"/>
      <c r="AB96" s="74"/>
      <c r="AE96" s="74"/>
      <c r="AF96" s="74"/>
      <c r="AI96" s="74"/>
      <c r="AJ96" s="74"/>
      <c r="AM96" s="74"/>
      <c r="AN96" s="74"/>
      <c r="AQ96" s="74"/>
      <c r="AR96" s="74"/>
      <c r="AU96" s="74"/>
      <c r="AV96" s="74"/>
      <c r="AY96" s="74"/>
      <c r="AZ96" s="74"/>
    </row>
    <row r="97" spans="1:52" s="59" customFormat="1">
      <c r="A97" s="74"/>
      <c r="B97" s="74"/>
      <c r="C97" s="74"/>
      <c r="D97" s="74"/>
      <c r="E97" s="74"/>
      <c r="S97" s="74"/>
      <c r="T97" s="74"/>
      <c r="W97" s="74"/>
      <c r="X97" s="74"/>
      <c r="AA97" s="74"/>
      <c r="AB97" s="74"/>
      <c r="AE97" s="74"/>
      <c r="AF97" s="74"/>
      <c r="AI97" s="74"/>
      <c r="AJ97" s="74"/>
      <c r="AM97" s="74"/>
      <c r="AN97" s="74"/>
      <c r="AQ97" s="74"/>
      <c r="AR97" s="74"/>
      <c r="AU97" s="74"/>
      <c r="AV97" s="74"/>
      <c r="AY97" s="74"/>
      <c r="AZ97" s="74"/>
    </row>
    <row r="98" spans="1:52" s="59" customFormat="1">
      <c r="A98" s="74"/>
      <c r="B98" s="74"/>
      <c r="C98" s="74"/>
      <c r="D98" s="74"/>
      <c r="E98" s="74"/>
      <c r="S98" s="74"/>
      <c r="T98" s="74"/>
      <c r="W98" s="74"/>
      <c r="X98" s="74"/>
      <c r="AA98" s="74"/>
      <c r="AB98" s="74"/>
      <c r="AE98" s="74"/>
      <c r="AF98" s="74"/>
      <c r="AI98" s="74"/>
      <c r="AJ98" s="74"/>
      <c r="AM98" s="74"/>
      <c r="AN98" s="74"/>
      <c r="AQ98" s="74"/>
      <c r="AR98" s="74"/>
      <c r="AU98" s="74"/>
      <c r="AV98" s="74"/>
      <c r="AY98" s="74"/>
      <c r="AZ98" s="74"/>
    </row>
    <row r="99" spans="1:52" s="59" customFormat="1">
      <c r="A99" s="74"/>
      <c r="B99" s="74"/>
      <c r="C99" s="74"/>
      <c r="D99" s="74"/>
      <c r="E99" s="74"/>
      <c r="S99" s="74"/>
      <c r="T99" s="74"/>
      <c r="W99" s="74"/>
      <c r="X99" s="74"/>
      <c r="AA99" s="74"/>
      <c r="AB99" s="74"/>
      <c r="AE99" s="74"/>
      <c r="AF99" s="74"/>
      <c r="AI99" s="74"/>
      <c r="AJ99" s="74"/>
      <c r="AM99" s="74"/>
      <c r="AN99" s="74"/>
      <c r="AQ99" s="74"/>
      <c r="AR99" s="74"/>
      <c r="AU99" s="74"/>
      <c r="AV99" s="74"/>
      <c r="AY99" s="74"/>
      <c r="AZ99" s="74"/>
    </row>
    <row r="100" spans="1:52" s="59" customFormat="1">
      <c r="A100" s="74"/>
      <c r="B100" s="74"/>
      <c r="C100" s="74"/>
      <c r="D100" s="74"/>
      <c r="E100" s="74"/>
      <c r="S100" s="74"/>
      <c r="T100" s="74"/>
      <c r="W100" s="74"/>
      <c r="X100" s="74"/>
      <c r="AA100" s="74"/>
      <c r="AB100" s="74"/>
      <c r="AE100" s="74"/>
      <c r="AF100" s="74"/>
      <c r="AI100" s="74"/>
      <c r="AJ100" s="74"/>
      <c r="AM100" s="74"/>
      <c r="AN100" s="74"/>
      <c r="AQ100" s="74"/>
      <c r="AR100" s="74"/>
      <c r="AU100" s="74"/>
      <c r="AV100" s="74"/>
      <c r="AY100" s="74"/>
      <c r="AZ100" s="74"/>
    </row>
    <row r="101" spans="1:52" s="59" customFormat="1">
      <c r="A101" s="74"/>
      <c r="B101" s="74"/>
      <c r="C101" s="74"/>
      <c r="D101" s="74"/>
      <c r="E101" s="74"/>
      <c r="S101" s="74"/>
      <c r="T101" s="74"/>
      <c r="W101" s="74"/>
      <c r="X101" s="74"/>
      <c r="AA101" s="74"/>
      <c r="AB101" s="74"/>
      <c r="AE101" s="74"/>
      <c r="AF101" s="74"/>
      <c r="AI101" s="74"/>
      <c r="AJ101" s="74"/>
      <c r="AM101" s="74"/>
      <c r="AN101" s="74"/>
      <c r="AQ101" s="74"/>
      <c r="AR101" s="74"/>
      <c r="AU101" s="74"/>
      <c r="AV101" s="74"/>
      <c r="AY101" s="74"/>
      <c r="AZ101" s="74"/>
    </row>
    <row r="102" spans="1:52" s="59" customFormat="1">
      <c r="A102" s="74"/>
      <c r="B102" s="74"/>
      <c r="C102" s="74"/>
      <c r="D102" s="74"/>
      <c r="E102" s="74"/>
      <c r="S102" s="74"/>
      <c r="T102" s="74"/>
      <c r="W102" s="74"/>
      <c r="X102" s="74"/>
      <c r="AA102" s="74"/>
      <c r="AB102" s="74"/>
      <c r="AE102" s="74"/>
      <c r="AF102" s="74"/>
      <c r="AI102" s="74"/>
      <c r="AJ102" s="74"/>
      <c r="AM102" s="74"/>
      <c r="AN102" s="74"/>
      <c r="AQ102" s="74"/>
      <c r="AR102" s="74"/>
      <c r="AU102" s="74"/>
      <c r="AV102" s="74"/>
      <c r="AY102" s="74"/>
      <c r="AZ102" s="74"/>
    </row>
    <row r="103" spans="1:52" s="59" customFormat="1">
      <c r="A103" s="74"/>
      <c r="B103" s="74"/>
      <c r="C103" s="74"/>
      <c r="D103" s="74"/>
      <c r="E103" s="74"/>
      <c r="S103" s="74"/>
      <c r="T103" s="74"/>
      <c r="W103" s="74"/>
      <c r="X103" s="74"/>
      <c r="AA103" s="74"/>
      <c r="AB103" s="74"/>
      <c r="AE103" s="74"/>
      <c r="AF103" s="74"/>
      <c r="AI103" s="74"/>
      <c r="AJ103" s="74"/>
      <c r="AM103" s="74"/>
      <c r="AN103" s="74"/>
      <c r="AQ103" s="74"/>
      <c r="AR103" s="74"/>
      <c r="AU103" s="74"/>
      <c r="AV103" s="74"/>
      <c r="AY103" s="74"/>
      <c r="AZ103" s="74"/>
    </row>
    <row r="104" spans="1:52" s="59" customFormat="1">
      <c r="A104" s="74"/>
      <c r="B104" s="74"/>
      <c r="C104" s="74"/>
      <c r="D104" s="74"/>
      <c r="E104" s="74"/>
      <c r="S104" s="74"/>
      <c r="T104" s="74"/>
      <c r="W104" s="74"/>
      <c r="X104" s="74"/>
      <c r="AA104" s="74"/>
      <c r="AB104" s="74"/>
      <c r="AE104" s="74"/>
      <c r="AF104" s="74"/>
      <c r="AI104" s="74"/>
      <c r="AJ104" s="74"/>
      <c r="AM104" s="74"/>
      <c r="AN104" s="74"/>
      <c r="AQ104" s="74"/>
      <c r="AR104" s="74"/>
      <c r="AU104" s="74"/>
      <c r="AV104" s="74"/>
      <c r="AY104" s="74"/>
      <c r="AZ104" s="74"/>
    </row>
    <row r="105" spans="1:52" s="59" customFormat="1">
      <c r="A105" s="74"/>
      <c r="B105" s="74"/>
      <c r="C105" s="74"/>
      <c r="D105" s="74"/>
      <c r="E105" s="74"/>
      <c r="S105" s="74"/>
      <c r="T105" s="74"/>
      <c r="W105" s="74"/>
      <c r="X105" s="74"/>
      <c r="AA105" s="74"/>
      <c r="AB105" s="74"/>
      <c r="AE105" s="74"/>
      <c r="AF105" s="74"/>
      <c r="AI105" s="74"/>
      <c r="AJ105" s="74"/>
      <c r="AM105" s="74"/>
      <c r="AN105" s="74"/>
      <c r="AQ105" s="74"/>
      <c r="AR105" s="74"/>
      <c r="AU105" s="74"/>
      <c r="AV105" s="74"/>
      <c r="AY105" s="74"/>
      <c r="AZ105" s="74"/>
    </row>
    <row r="106" spans="1:52" s="59" customFormat="1">
      <c r="A106" s="74"/>
      <c r="B106" s="74"/>
      <c r="C106" s="74"/>
      <c r="D106" s="74"/>
      <c r="E106" s="74"/>
      <c r="S106" s="74"/>
      <c r="T106" s="74"/>
      <c r="W106" s="74"/>
      <c r="X106" s="74"/>
      <c r="AA106" s="74"/>
      <c r="AB106" s="74"/>
      <c r="AE106" s="74"/>
      <c r="AF106" s="74"/>
      <c r="AI106" s="74"/>
      <c r="AJ106" s="74"/>
      <c r="AM106" s="74"/>
      <c r="AN106" s="74"/>
      <c r="AQ106" s="74"/>
      <c r="AR106" s="74"/>
      <c r="AU106" s="74"/>
      <c r="AV106" s="74"/>
      <c r="AY106" s="74"/>
      <c r="AZ106" s="74"/>
    </row>
    <row r="107" spans="1:52" s="59" customFormat="1">
      <c r="A107" s="74"/>
      <c r="B107" s="74"/>
      <c r="C107" s="74"/>
      <c r="D107" s="74"/>
      <c r="E107" s="74"/>
      <c r="S107" s="74"/>
      <c r="T107" s="74"/>
      <c r="W107" s="74"/>
      <c r="X107" s="74"/>
      <c r="AA107" s="74"/>
      <c r="AB107" s="74"/>
      <c r="AE107" s="74"/>
      <c r="AF107" s="74"/>
      <c r="AI107" s="74"/>
      <c r="AJ107" s="74"/>
      <c r="AM107" s="74"/>
      <c r="AN107" s="74"/>
      <c r="AQ107" s="74"/>
      <c r="AR107" s="74"/>
      <c r="AU107" s="74"/>
      <c r="AV107" s="74"/>
      <c r="AY107" s="74"/>
      <c r="AZ107" s="74"/>
    </row>
    <row r="108" spans="1:52" s="59" customFormat="1">
      <c r="A108" s="74"/>
      <c r="B108" s="74"/>
      <c r="C108" s="74"/>
      <c r="D108" s="74"/>
      <c r="E108" s="74"/>
      <c r="S108" s="74"/>
      <c r="T108" s="74"/>
      <c r="W108" s="74"/>
      <c r="X108" s="74"/>
      <c r="AA108" s="74"/>
      <c r="AB108" s="74"/>
      <c r="AE108" s="74"/>
      <c r="AF108" s="74"/>
      <c r="AI108" s="74"/>
      <c r="AJ108" s="74"/>
      <c r="AM108" s="74"/>
      <c r="AN108" s="74"/>
      <c r="AQ108" s="74"/>
      <c r="AR108" s="74"/>
      <c r="AU108" s="74"/>
      <c r="AV108" s="74"/>
      <c r="AY108" s="74"/>
      <c r="AZ108" s="74"/>
    </row>
    <row r="109" spans="1:52" s="59" customFormat="1">
      <c r="A109" s="74"/>
      <c r="B109" s="74"/>
      <c r="C109" s="74"/>
      <c r="D109" s="74"/>
      <c r="E109" s="74"/>
      <c r="S109" s="74"/>
      <c r="T109" s="74"/>
      <c r="W109" s="74"/>
      <c r="X109" s="74"/>
      <c r="AA109" s="74"/>
      <c r="AB109" s="74"/>
      <c r="AE109" s="74"/>
      <c r="AF109" s="74"/>
      <c r="AI109" s="74"/>
      <c r="AJ109" s="74"/>
      <c r="AM109" s="74"/>
      <c r="AN109" s="74"/>
      <c r="AQ109" s="74"/>
      <c r="AR109" s="74"/>
      <c r="AU109" s="74"/>
      <c r="AV109" s="74"/>
      <c r="AY109" s="74"/>
      <c r="AZ109" s="74"/>
    </row>
    <row r="110" spans="1:52" s="59" customFormat="1">
      <c r="A110" s="74"/>
      <c r="B110" s="74"/>
      <c r="C110" s="74"/>
      <c r="D110" s="74"/>
      <c r="E110" s="74"/>
      <c r="S110" s="74"/>
      <c r="T110" s="74"/>
      <c r="W110" s="74"/>
      <c r="X110" s="74"/>
      <c r="AA110" s="74"/>
      <c r="AB110" s="74"/>
      <c r="AE110" s="74"/>
      <c r="AF110" s="74"/>
      <c r="AI110" s="74"/>
      <c r="AJ110" s="74"/>
      <c r="AM110" s="74"/>
      <c r="AN110" s="74"/>
      <c r="AQ110" s="74"/>
      <c r="AR110" s="74"/>
      <c r="AU110" s="74"/>
      <c r="AV110" s="74"/>
      <c r="AY110" s="74"/>
      <c r="AZ110" s="74"/>
    </row>
    <row r="111" spans="1:52" s="59" customFormat="1">
      <c r="A111" s="74"/>
      <c r="B111" s="74"/>
      <c r="C111" s="74"/>
      <c r="D111" s="74"/>
      <c r="E111" s="74"/>
      <c r="S111" s="74"/>
      <c r="T111" s="74"/>
      <c r="W111" s="74"/>
      <c r="X111" s="74"/>
      <c r="AA111" s="74"/>
      <c r="AB111" s="74"/>
      <c r="AE111" s="74"/>
      <c r="AF111" s="74"/>
      <c r="AI111" s="74"/>
      <c r="AJ111" s="74"/>
      <c r="AM111" s="74"/>
      <c r="AN111" s="74"/>
      <c r="AQ111" s="74"/>
      <c r="AR111" s="74"/>
      <c r="AU111" s="74"/>
      <c r="AV111" s="74"/>
      <c r="AY111" s="74"/>
      <c r="AZ111" s="74"/>
    </row>
    <row r="112" spans="1:52" s="59" customFormat="1">
      <c r="A112" s="74"/>
      <c r="B112" s="74"/>
      <c r="C112" s="74"/>
      <c r="D112" s="74"/>
      <c r="E112" s="74"/>
      <c r="S112" s="74"/>
      <c r="T112" s="74"/>
      <c r="W112" s="74"/>
      <c r="X112" s="74"/>
      <c r="AA112" s="74"/>
      <c r="AB112" s="74"/>
      <c r="AE112" s="74"/>
      <c r="AF112" s="74"/>
      <c r="AI112" s="74"/>
      <c r="AJ112" s="74"/>
      <c r="AM112" s="74"/>
      <c r="AN112" s="74"/>
      <c r="AQ112" s="74"/>
      <c r="AR112" s="74"/>
      <c r="AU112" s="74"/>
      <c r="AV112" s="74"/>
      <c r="AY112" s="74"/>
      <c r="AZ112" s="74"/>
    </row>
    <row r="113" spans="1:52" s="59" customFormat="1">
      <c r="A113" s="74"/>
      <c r="B113" s="74"/>
      <c r="C113" s="74"/>
      <c r="D113" s="74"/>
      <c r="E113" s="74"/>
      <c r="S113" s="74"/>
      <c r="T113" s="74"/>
      <c r="W113" s="74"/>
      <c r="X113" s="74"/>
      <c r="AA113" s="74"/>
      <c r="AB113" s="74"/>
      <c r="AE113" s="74"/>
      <c r="AF113" s="74"/>
      <c r="AI113" s="74"/>
      <c r="AJ113" s="74"/>
      <c r="AM113" s="74"/>
      <c r="AN113" s="74"/>
      <c r="AQ113" s="74"/>
      <c r="AR113" s="74"/>
      <c r="AU113" s="74"/>
      <c r="AV113" s="74"/>
      <c r="AY113" s="74"/>
      <c r="AZ113" s="74"/>
    </row>
    <row r="149" spans="2:3">
      <c r="B149" s="18"/>
      <c r="C149" s="18"/>
    </row>
    <row r="150" spans="2:3">
      <c r="B150" s="18"/>
      <c r="C150" s="18"/>
    </row>
    <row r="151" spans="2:3">
      <c r="B151" s="18"/>
      <c r="C151" s="18"/>
    </row>
    <row r="152" spans="2:3">
      <c r="B152" s="18"/>
      <c r="C152" s="18"/>
    </row>
    <row r="153" spans="2:3">
      <c r="B153" s="18"/>
      <c r="C153" s="18"/>
    </row>
    <row r="154" spans="2:3">
      <c r="B154" s="18"/>
      <c r="C154" s="18"/>
    </row>
    <row r="155" spans="2:3">
      <c r="B155" s="18"/>
      <c r="C155" s="18"/>
    </row>
    <row r="156" spans="2:3">
      <c r="B156" s="18"/>
      <c r="C156" s="18"/>
    </row>
    <row r="157" spans="2:3">
      <c r="B157" s="18"/>
      <c r="C157" s="18"/>
    </row>
    <row r="158" spans="2:3">
      <c r="B158" s="18"/>
      <c r="C158" s="18"/>
    </row>
    <row r="159" spans="2:3">
      <c r="B159" s="18"/>
      <c r="C159" s="18"/>
    </row>
    <row r="160" spans="2:3">
      <c r="B160" s="18"/>
      <c r="C160" s="18"/>
    </row>
    <row r="161" spans="2:3">
      <c r="B161" s="18"/>
      <c r="C161" s="18"/>
    </row>
    <row r="162" spans="2:3">
      <c r="B162" s="18"/>
      <c r="C162" s="18"/>
    </row>
    <row r="163" spans="2:3">
      <c r="B163" s="18"/>
      <c r="C163" s="18"/>
    </row>
    <row r="164" spans="2:3">
      <c r="B164" s="18"/>
      <c r="C164" s="18"/>
    </row>
    <row r="165" spans="2:3">
      <c r="B165" s="18"/>
      <c r="C165" s="18"/>
    </row>
    <row r="166" spans="2:3">
      <c r="B166" s="18"/>
      <c r="C166" s="18"/>
    </row>
    <row r="167" spans="2:3">
      <c r="B167" s="18"/>
      <c r="C167" s="18"/>
    </row>
    <row r="168" spans="2:3">
      <c r="B168" s="18"/>
      <c r="C168" s="18"/>
    </row>
    <row r="169" spans="2:3">
      <c r="B169" s="18"/>
      <c r="C169" s="18"/>
    </row>
    <row r="170" spans="2:3">
      <c r="B170" s="18"/>
      <c r="C170" s="18"/>
    </row>
    <row r="171" spans="2:3">
      <c r="B171" s="18"/>
      <c r="C171" s="18"/>
    </row>
    <row r="172" spans="2:3">
      <c r="B172" s="18"/>
      <c r="C172" s="18"/>
    </row>
    <row r="173" spans="2:3">
      <c r="B173" s="18"/>
      <c r="C173" s="18"/>
    </row>
    <row r="174" spans="2:3">
      <c r="B174" s="18"/>
      <c r="C174" s="18"/>
    </row>
    <row r="175" spans="2:3">
      <c r="B175" s="18"/>
      <c r="C175" s="18"/>
    </row>
    <row r="176" spans="2:3">
      <c r="B176" s="18"/>
      <c r="C176" s="18"/>
    </row>
    <row r="177" spans="2:3">
      <c r="B177" s="18"/>
      <c r="C177" s="18"/>
    </row>
    <row r="178" spans="2:3">
      <c r="B178" s="18"/>
      <c r="C178" s="18"/>
    </row>
    <row r="179" spans="2:3">
      <c r="B179" s="18"/>
      <c r="C179" s="18"/>
    </row>
    <row r="180" spans="2:3">
      <c r="B180" s="18"/>
      <c r="C180" s="18"/>
    </row>
    <row r="181" spans="2:3">
      <c r="B181" s="18"/>
      <c r="C181" s="18"/>
    </row>
    <row r="182" spans="2:3">
      <c r="B182" s="18"/>
      <c r="C182" s="18"/>
    </row>
    <row r="183" spans="2:3">
      <c r="B183" s="18"/>
      <c r="C183" s="18"/>
    </row>
    <row r="184" spans="2:3">
      <c r="B184" s="18"/>
      <c r="C184" s="18"/>
    </row>
  </sheetData>
  <autoFilter ref="A6:BH83"/>
  <mergeCells count="21">
    <mergeCell ref="BF2:BF3"/>
    <mergeCell ref="BG2:BH2"/>
    <mergeCell ref="BI2:BL2"/>
    <mergeCell ref="AU2:AX2"/>
    <mergeCell ref="AY2:BB2"/>
    <mergeCell ref="BC2:BC3"/>
    <mergeCell ref="BD2:BE2"/>
    <mergeCell ref="D2:G2"/>
    <mergeCell ref="A2:A3"/>
    <mergeCell ref="B2:B3"/>
    <mergeCell ref="P2:Q2"/>
    <mergeCell ref="AQ2:AT2"/>
    <mergeCell ref="R2:R3"/>
    <mergeCell ref="S2:V2"/>
    <mergeCell ref="H2:K2"/>
    <mergeCell ref="L2:O2"/>
    <mergeCell ref="AA2:AD2"/>
    <mergeCell ref="W2:Z2"/>
    <mergeCell ref="AE2:AH2"/>
    <mergeCell ref="AI2:AL2"/>
    <mergeCell ref="AM2:AP2"/>
  </mergeCells>
  <pageMargins left="0.70866141732283472" right="0.70866141732283472" top="0.74803149606299213" bottom="0.74803149606299213" header="0.31496062992125984" footer="0.31496062992125984"/>
  <pageSetup paperSize="9" scale="35" fitToWidth="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3" filterMode="1">
    <tabColor rgb="FF00B050"/>
    <pageSetUpPr fitToPage="1"/>
  </sheetPr>
  <dimension ref="A1:J147"/>
  <sheetViews>
    <sheetView zoomScale="130" zoomScaleNormal="140" zoomScaleSheetLayoutView="140" workbookViewId="0">
      <pane xSplit="7" ySplit="10" topLeftCell="H51" activePane="bottomRight" state="frozen"/>
      <selection pane="topRight" activeCell="I1" sqref="I1"/>
      <selection pane="bottomLeft" activeCell="A11" sqref="A11"/>
      <selection pane="bottomRight" activeCell="C10" sqref="C10"/>
    </sheetView>
  </sheetViews>
  <sheetFormatPr defaultColWidth="8.88671875" defaultRowHeight="9.75" outlineLevelCol="1"/>
  <cols>
    <col min="1" max="1" width="4" style="147" customWidth="1"/>
    <col min="2" max="2" width="9" style="147" customWidth="1"/>
    <col min="3" max="3" width="3.5546875" style="203" customWidth="1"/>
    <col min="4" max="4" width="14.5546875" style="205" customWidth="1"/>
    <col min="5" max="5" width="9.5546875" style="199" customWidth="1"/>
    <col min="6" max="6" width="9" style="204" customWidth="1"/>
    <col min="7" max="7" width="10.33203125" style="146" customWidth="1"/>
    <col min="8" max="8" width="6.44140625" style="147" customWidth="1" outlineLevel="1"/>
    <col min="9" max="9" width="4.44140625" style="147" customWidth="1" outlineLevel="1"/>
    <col min="10" max="10" width="8.109375" style="199" customWidth="1"/>
    <col min="11" max="16384" width="8.88671875" style="199"/>
  </cols>
  <sheetData>
    <row r="1" spans="1:10" s="147" customFormat="1" ht="9" customHeight="1">
      <c r="A1" s="142"/>
      <c r="B1" s="142">
        <v>69648.818079999983</v>
      </c>
      <c r="C1" s="144"/>
      <c r="D1" s="145">
        <v>23811.069999999992</v>
      </c>
      <c r="E1" s="142">
        <f>B1+D1</f>
        <v>93459.888079999975</v>
      </c>
      <c r="F1" s="143"/>
      <c r="G1" s="143"/>
      <c r="H1" s="143"/>
      <c r="I1" s="143"/>
      <c r="J1" s="143"/>
    </row>
    <row r="2" spans="1:10" s="152" customFormat="1" ht="9" customHeight="1">
      <c r="A2" s="148"/>
      <c r="B2" s="148"/>
      <c r="C2" s="149"/>
      <c r="D2" s="150"/>
      <c r="E2" s="148"/>
      <c r="F2" s="148"/>
      <c r="G2" s="148" t="s">
        <v>535</v>
      </c>
      <c r="H2" s="148"/>
      <c r="I2" s="148"/>
      <c r="J2" s="151">
        <v>6234</v>
      </c>
    </row>
    <row r="3" spans="1:10" s="147" customFormat="1" ht="9" customHeight="1">
      <c r="A3" s="309" t="s">
        <v>536</v>
      </c>
      <c r="B3" s="309" t="s">
        <v>537</v>
      </c>
      <c r="C3" s="312" t="s">
        <v>0</v>
      </c>
      <c r="D3" s="315" t="s">
        <v>538</v>
      </c>
      <c r="E3" s="309" t="s">
        <v>539</v>
      </c>
      <c r="F3" s="309" t="s">
        <v>519</v>
      </c>
      <c r="G3" s="319" t="s">
        <v>304</v>
      </c>
      <c r="H3" s="309" t="s">
        <v>540</v>
      </c>
      <c r="I3" s="309" t="s">
        <v>541</v>
      </c>
      <c r="J3" s="153"/>
    </row>
    <row r="4" spans="1:10" s="147" customFormat="1" ht="12" customHeight="1">
      <c r="A4" s="310"/>
      <c r="B4" s="310"/>
      <c r="C4" s="313"/>
      <c r="D4" s="316"/>
      <c r="E4" s="310"/>
      <c r="F4" s="310"/>
      <c r="G4" s="320"/>
      <c r="H4" s="310"/>
      <c r="I4" s="310"/>
      <c r="J4" s="318" t="s">
        <v>542</v>
      </c>
    </row>
    <row r="5" spans="1:10" s="147" customFormat="1" ht="27.75" customHeight="1">
      <c r="A5" s="311"/>
      <c r="B5" s="311"/>
      <c r="C5" s="314"/>
      <c r="D5" s="317"/>
      <c r="E5" s="311"/>
      <c r="F5" s="311"/>
      <c r="G5" s="321"/>
      <c r="H5" s="311"/>
      <c r="I5" s="311"/>
      <c r="J5" s="311"/>
    </row>
    <row r="6" spans="1:10" s="160" customFormat="1" ht="9.75" customHeight="1">
      <c r="A6" s="154"/>
      <c r="B6" s="154"/>
      <c r="C6" s="156"/>
      <c r="D6" s="157" t="s">
        <v>543</v>
      </c>
      <c r="E6" s="158"/>
      <c r="F6" s="155"/>
      <c r="G6" s="155"/>
      <c r="H6" s="159"/>
      <c r="I6" s="159"/>
      <c r="J6" s="159">
        <v>223</v>
      </c>
    </row>
    <row r="7" spans="1:10" s="168" customFormat="1" ht="7.5" customHeight="1">
      <c r="A7" s="161"/>
      <c r="B7" s="161"/>
      <c r="C7" s="163"/>
      <c r="D7" s="164"/>
      <c r="E7" s="165"/>
      <c r="F7" s="162"/>
      <c r="G7" s="162"/>
      <c r="H7" s="166"/>
      <c r="I7" s="166"/>
      <c r="J7" s="167"/>
    </row>
    <row r="8" spans="1:10" s="174" customFormat="1" ht="6.75" customHeight="1">
      <c r="A8" s="169"/>
      <c r="B8" s="169"/>
      <c r="C8" s="171"/>
      <c r="D8" s="172"/>
      <c r="E8" s="173"/>
      <c r="F8" s="170"/>
      <c r="G8" s="170"/>
      <c r="H8" s="173"/>
      <c r="I8" s="159"/>
      <c r="J8" s="173">
        <v>223003</v>
      </c>
    </row>
    <row r="9" spans="1:10" s="185" customFormat="1" ht="10.5" customHeight="1">
      <c r="A9" s="175">
        <v>1</v>
      </c>
      <c r="B9" s="177"/>
      <c r="C9" s="178"/>
      <c r="D9" s="179"/>
      <c r="E9" s="176"/>
      <c r="F9" s="180"/>
      <c r="G9" s="181"/>
      <c r="H9" s="183">
        <f>SUBTOTAL(9,H11:H147)</f>
        <v>233.66699999999997</v>
      </c>
      <c r="I9" s="182">
        <f>SUBTOTAL(9,I11:I1124)</f>
        <v>0</v>
      </c>
      <c r="J9" s="184">
        <f>SUBTOTAL(9,J11:J1134)</f>
        <v>1456.6800900000003</v>
      </c>
    </row>
    <row r="10" spans="1:10" s="194" customFormat="1" ht="7.5" customHeight="1">
      <c r="A10" s="186"/>
      <c r="B10" s="186"/>
      <c r="C10" s="188"/>
      <c r="D10" s="189"/>
      <c r="E10" s="190"/>
      <c r="F10" s="187"/>
      <c r="G10" s="191"/>
      <c r="H10" s="192"/>
      <c r="I10" s="192"/>
      <c r="J10" s="193"/>
    </row>
    <row r="11" spans="1:10" hidden="1">
      <c r="A11" s="186" t="s">
        <v>544</v>
      </c>
      <c r="B11" s="186" t="s">
        <v>606</v>
      </c>
      <c r="C11" s="188">
        <v>31</v>
      </c>
      <c r="D11" s="196" t="s">
        <v>650</v>
      </c>
      <c r="E11" s="195"/>
      <c r="F11" s="196" t="s">
        <v>545</v>
      </c>
      <c r="G11" s="197" t="s">
        <v>546</v>
      </c>
      <c r="H11" s="186">
        <v>0</v>
      </c>
      <c r="I11" s="186"/>
      <c r="J11" s="198">
        <f>ROUND(H11*$J$2,2)</f>
        <v>0</v>
      </c>
    </row>
    <row r="12" spans="1:10" hidden="1">
      <c r="A12" s="186" t="s">
        <v>544</v>
      </c>
      <c r="B12" s="200" t="s">
        <v>606</v>
      </c>
      <c r="C12" s="188">
        <v>34</v>
      </c>
      <c r="D12" s="196" t="s">
        <v>651</v>
      </c>
      <c r="E12" s="195"/>
      <c r="F12" s="196" t="s">
        <v>545</v>
      </c>
      <c r="G12" s="197" t="s">
        <v>547</v>
      </c>
      <c r="H12" s="186">
        <v>10.969000000000001</v>
      </c>
      <c r="I12" s="196" t="s">
        <v>607</v>
      </c>
      <c r="J12" s="206">
        <f>ROUND(H12*$J$2/1000,5)</f>
        <v>68.380750000000006</v>
      </c>
    </row>
    <row r="13" spans="1:10" hidden="1">
      <c r="A13" s="186" t="s">
        <v>544</v>
      </c>
      <c r="B13" s="186" t="s">
        <v>606</v>
      </c>
      <c r="C13" s="188">
        <v>36</v>
      </c>
      <c r="D13" s="196" t="s">
        <v>652</v>
      </c>
      <c r="E13" s="195"/>
      <c r="F13" s="196" t="s">
        <v>545</v>
      </c>
      <c r="G13" s="197" t="s">
        <v>548</v>
      </c>
      <c r="H13" s="186">
        <v>0</v>
      </c>
      <c r="I13" s="186"/>
      <c r="J13" s="206">
        <f t="shared" ref="J13:J76" si="0">ROUND(H13*$J$2/1000,5)</f>
        <v>0</v>
      </c>
    </row>
    <row r="14" spans="1:10" hidden="1">
      <c r="A14" s="186" t="s">
        <v>544</v>
      </c>
      <c r="B14" s="200" t="s">
        <v>606</v>
      </c>
      <c r="C14" s="188">
        <v>38</v>
      </c>
      <c r="D14" s="196" t="s">
        <v>653</v>
      </c>
      <c r="E14" s="195"/>
      <c r="F14" s="196" t="s">
        <v>545</v>
      </c>
      <c r="G14" s="197" t="s">
        <v>549</v>
      </c>
      <c r="H14" s="186">
        <v>0</v>
      </c>
      <c r="I14" s="196" t="s">
        <v>608</v>
      </c>
      <c r="J14" s="206">
        <f t="shared" si="0"/>
        <v>0</v>
      </c>
    </row>
    <row r="15" spans="1:10" hidden="1">
      <c r="A15" s="186" t="s">
        <v>544</v>
      </c>
      <c r="B15" s="186" t="s">
        <v>606</v>
      </c>
      <c r="C15" s="188">
        <v>40</v>
      </c>
      <c r="D15" s="196" t="s">
        <v>654</v>
      </c>
      <c r="E15" s="195"/>
      <c r="F15" s="196" t="s">
        <v>545</v>
      </c>
      <c r="G15" s="197" t="s">
        <v>550</v>
      </c>
      <c r="H15" s="186">
        <v>29.590000000000003</v>
      </c>
      <c r="I15" s="196" t="s">
        <v>609</v>
      </c>
      <c r="J15" s="206">
        <f t="shared" si="0"/>
        <v>184.46405999999999</v>
      </c>
    </row>
    <row r="16" spans="1:10" hidden="1">
      <c r="A16" s="186" t="s">
        <v>544</v>
      </c>
      <c r="B16" s="200" t="s">
        <v>606</v>
      </c>
      <c r="C16" s="188">
        <v>44</v>
      </c>
      <c r="D16" s="196" t="s">
        <v>655</v>
      </c>
      <c r="E16" s="195"/>
      <c r="F16" s="196" t="s">
        <v>545</v>
      </c>
      <c r="G16" s="197" t="s">
        <v>551</v>
      </c>
      <c r="H16" s="186">
        <v>0</v>
      </c>
      <c r="I16" s="186"/>
      <c r="J16" s="206">
        <f t="shared" si="0"/>
        <v>0</v>
      </c>
    </row>
    <row r="17" spans="1:10" hidden="1">
      <c r="A17" s="186" t="s">
        <v>544</v>
      </c>
      <c r="B17" s="186" t="s">
        <v>606</v>
      </c>
      <c r="C17" s="188">
        <v>46</v>
      </c>
      <c r="D17" s="196" t="s">
        <v>656</v>
      </c>
      <c r="E17" s="195"/>
      <c r="F17" s="196" t="s">
        <v>545</v>
      </c>
      <c r="G17" s="197" t="s">
        <v>552</v>
      </c>
      <c r="H17" s="186">
        <v>0</v>
      </c>
      <c r="I17" s="186"/>
      <c r="J17" s="206">
        <f t="shared" si="0"/>
        <v>0</v>
      </c>
    </row>
    <row r="18" spans="1:10" hidden="1">
      <c r="A18" s="186" t="s">
        <v>544</v>
      </c>
      <c r="B18" s="200" t="s">
        <v>606</v>
      </c>
      <c r="C18" s="188">
        <v>49</v>
      </c>
      <c r="D18" s="201" t="s">
        <v>657</v>
      </c>
      <c r="E18" s="195"/>
      <c r="F18" s="196" t="s">
        <v>545</v>
      </c>
      <c r="G18" s="197" t="s">
        <v>553</v>
      </c>
      <c r="H18" s="186">
        <v>0</v>
      </c>
      <c r="I18" s="186"/>
      <c r="J18" s="206">
        <f t="shared" si="0"/>
        <v>0</v>
      </c>
    </row>
    <row r="19" spans="1:10" hidden="1">
      <c r="A19" s="186" t="s">
        <v>544</v>
      </c>
      <c r="B19" s="186" t="s">
        <v>606</v>
      </c>
      <c r="C19" s="188">
        <v>254</v>
      </c>
      <c r="D19" s="202" t="s">
        <v>658</v>
      </c>
      <c r="E19" s="195"/>
      <c r="F19" s="196" t="s">
        <v>545</v>
      </c>
      <c r="G19" s="197" t="s">
        <v>554</v>
      </c>
      <c r="H19" s="186">
        <v>0</v>
      </c>
      <c r="I19" s="186"/>
      <c r="J19" s="206">
        <f t="shared" si="0"/>
        <v>0</v>
      </c>
    </row>
    <row r="20" spans="1:10" hidden="1">
      <c r="A20" s="186" t="s">
        <v>544</v>
      </c>
      <c r="B20" s="200" t="s">
        <v>606</v>
      </c>
      <c r="C20" s="188">
        <v>51</v>
      </c>
      <c r="D20" s="196" t="s">
        <v>659</v>
      </c>
      <c r="E20" s="195"/>
      <c r="F20" s="196" t="s">
        <v>545</v>
      </c>
      <c r="G20" s="197" t="s">
        <v>555</v>
      </c>
      <c r="H20" s="186">
        <v>32.904999999999994</v>
      </c>
      <c r="I20" s="196" t="s">
        <v>610</v>
      </c>
      <c r="J20" s="206">
        <f t="shared" si="0"/>
        <v>205.12977000000001</v>
      </c>
    </row>
    <row r="21" spans="1:10" hidden="1">
      <c r="A21" s="186" t="s">
        <v>544</v>
      </c>
      <c r="B21" s="186" t="s">
        <v>606</v>
      </c>
      <c r="C21" s="188">
        <v>52</v>
      </c>
      <c r="D21" s="196" t="s">
        <v>660</v>
      </c>
      <c r="E21" s="195"/>
      <c r="F21" s="196" t="s">
        <v>545</v>
      </c>
      <c r="G21" s="197" t="s">
        <v>556</v>
      </c>
      <c r="H21" s="186">
        <v>0</v>
      </c>
      <c r="I21" s="186"/>
      <c r="J21" s="206">
        <f t="shared" si="0"/>
        <v>0</v>
      </c>
    </row>
    <row r="22" spans="1:10" hidden="1">
      <c r="A22" s="186" t="s">
        <v>544</v>
      </c>
      <c r="B22" s="200" t="s">
        <v>606</v>
      </c>
      <c r="C22" s="188">
        <v>68</v>
      </c>
      <c r="D22" s="196" t="s">
        <v>661</v>
      </c>
      <c r="E22" s="195"/>
      <c r="F22" s="196" t="s">
        <v>545</v>
      </c>
      <c r="G22" s="197" t="s">
        <v>557</v>
      </c>
      <c r="H22" s="186">
        <v>0</v>
      </c>
      <c r="I22" s="186"/>
      <c r="J22" s="206">
        <f t="shared" si="0"/>
        <v>0</v>
      </c>
    </row>
    <row r="23" spans="1:10" hidden="1">
      <c r="A23" s="186" t="s">
        <v>544</v>
      </c>
      <c r="B23" s="186" t="s">
        <v>606</v>
      </c>
      <c r="C23" s="188">
        <v>69</v>
      </c>
      <c r="D23" s="196" t="s">
        <v>662</v>
      </c>
      <c r="E23" s="195"/>
      <c r="F23" s="196" t="s">
        <v>545</v>
      </c>
      <c r="G23" s="197" t="s">
        <v>558</v>
      </c>
      <c r="H23" s="186">
        <v>0</v>
      </c>
      <c r="I23" s="186"/>
      <c r="J23" s="206">
        <f t="shared" si="0"/>
        <v>0</v>
      </c>
    </row>
    <row r="24" spans="1:10" hidden="1">
      <c r="A24" s="186" t="s">
        <v>544</v>
      </c>
      <c r="B24" s="200" t="s">
        <v>606</v>
      </c>
      <c r="C24" s="188">
        <v>70</v>
      </c>
      <c r="D24" s="196" t="s">
        <v>663</v>
      </c>
      <c r="E24" s="195"/>
      <c r="F24" s="196" t="s">
        <v>545</v>
      </c>
      <c r="G24" s="197" t="s">
        <v>559</v>
      </c>
      <c r="H24" s="186">
        <v>0</v>
      </c>
      <c r="I24" s="186"/>
      <c r="J24" s="206">
        <f t="shared" si="0"/>
        <v>0</v>
      </c>
    </row>
    <row r="25" spans="1:10" hidden="1">
      <c r="A25" s="186" t="s">
        <v>544</v>
      </c>
      <c r="B25" s="186" t="s">
        <v>606</v>
      </c>
      <c r="C25" s="188">
        <v>71</v>
      </c>
      <c r="D25" s="196" t="s">
        <v>664</v>
      </c>
      <c r="E25" s="195"/>
      <c r="F25" s="196" t="s">
        <v>545</v>
      </c>
      <c r="G25" s="197" t="s">
        <v>560</v>
      </c>
      <c r="H25" s="186">
        <v>0</v>
      </c>
      <c r="I25" s="186"/>
      <c r="J25" s="206">
        <f t="shared" si="0"/>
        <v>0</v>
      </c>
    </row>
    <row r="26" spans="1:10" hidden="1">
      <c r="A26" s="186" t="s">
        <v>544</v>
      </c>
      <c r="B26" s="200" t="s">
        <v>606</v>
      </c>
      <c r="C26" s="188">
        <v>72</v>
      </c>
      <c r="D26" s="196" t="s">
        <v>665</v>
      </c>
      <c r="E26" s="195"/>
      <c r="F26" s="196" t="s">
        <v>545</v>
      </c>
      <c r="G26" s="197" t="s">
        <v>561</v>
      </c>
      <c r="H26" s="186">
        <v>0</v>
      </c>
      <c r="I26" s="186"/>
      <c r="J26" s="206">
        <f t="shared" si="0"/>
        <v>0</v>
      </c>
    </row>
    <row r="27" spans="1:10" hidden="1">
      <c r="A27" s="186" t="s">
        <v>544</v>
      </c>
      <c r="B27" s="186" t="s">
        <v>606</v>
      </c>
      <c r="C27" s="188">
        <v>73</v>
      </c>
      <c r="D27" s="196" t="s">
        <v>666</v>
      </c>
      <c r="E27" s="195"/>
      <c r="F27" s="196" t="s">
        <v>545</v>
      </c>
      <c r="G27" s="197" t="s">
        <v>562</v>
      </c>
      <c r="H27" s="186">
        <v>0</v>
      </c>
      <c r="I27" s="186"/>
      <c r="J27" s="206">
        <f t="shared" si="0"/>
        <v>0</v>
      </c>
    </row>
    <row r="28" spans="1:10" hidden="1">
      <c r="A28" s="186" t="s">
        <v>544</v>
      </c>
      <c r="B28" s="200" t="s">
        <v>606</v>
      </c>
      <c r="C28" s="188">
        <v>74</v>
      </c>
      <c r="D28" s="196" t="s">
        <v>667</v>
      </c>
      <c r="E28" s="195"/>
      <c r="F28" s="196" t="s">
        <v>545</v>
      </c>
      <c r="G28" s="197" t="s">
        <v>563</v>
      </c>
      <c r="H28" s="186">
        <v>0</v>
      </c>
      <c r="I28" s="186"/>
      <c r="J28" s="206">
        <f t="shared" si="0"/>
        <v>0</v>
      </c>
    </row>
    <row r="29" spans="1:10" hidden="1">
      <c r="A29" s="186" t="s">
        <v>544</v>
      </c>
      <c r="B29" s="186" t="s">
        <v>606</v>
      </c>
      <c r="C29" s="188">
        <v>75</v>
      </c>
      <c r="D29" s="196" t="s">
        <v>668</v>
      </c>
      <c r="E29" s="195"/>
      <c r="F29" s="196" t="s">
        <v>545</v>
      </c>
      <c r="G29" s="197" t="s">
        <v>564</v>
      </c>
      <c r="H29" s="186">
        <v>0</v>
      </c>
      <c r="I29" s="186"/>
      <c r="J29" s="206">
        <f t="shared" si="0"/>
        <v>0</v>
      </c>
    </row>
    <row r="30" spans="1:10" hidden="1">
      <c r="A30" s="186" t="s">
        <v>544</v>
      </c>
      <c r="B30" s="200" t="s">
        <v>606</v>
      </c>
      <c r="C30" s="188">
        <v>76</v>
      </c>
      <c r="D30" s="196" t="s">
        <v>669</v>
      </c>
      <c r="E30" s="195"/>
      <c r="F30" s="196" t="s">
        <v>545</v>
      </c>
      <c r="G30" s="197" t="s">
        <v>565</v>
      </c>
      <c r="H30" s="186">
        <v>0</v>
      </c>
      <c r="I30" s="186"/>
      <c r="J30" s="206">
        <f t="shared" si="0"/>
        <v>0</v>
      </c>
    </row>
    <row r="31" spans="1:10" hidden="1">
      <c r="A31" s="186" t="s">
        <v>544</v>
      </c>
      <c r="B31" s="186" t="s">
        <v>606</v>
      </c>
      <c r="C31" s="188">
        <v>77</v>
      </c>
      <c r="D31" s="196" t="s">
        <v>670</v>
      </c>
      <c r="E31" s="195"/>
      <c r="F31" s="196" t="s">
        <v>545</v>
      </c>
      <c r="G31" s="197" t="s">
        <v>566</v>
      </c>
      <c r="H31" s="186">
        <v>0</v>
      </c>
      <c r="I31" s="186"/>
      <c r="J31" s="206">
        <f t="shared" si="0"/>
        <v>0</v>
      </c>
    </row>
    <row r="32" spans="1:10" hidden="1">
      <c r="A32" s="186" t="s">
        <v>544</v>
      </c>
      <c r="B32" s="200" t="s">
        <v>606</v>
      </c>
      <c r="C32" s="188">
        <v>64</v>
      </c>
      <c r="D32" s="196" t="s">
        <v>671</v>
      </c>
      <c r="E32" s="195"/>
      <c r="F32" s="196" t="s">
        <v>545</v>
      </c>
      <c r="G32" s="197" t="s">
        <v>567</v>
      </c>
      <c r="H32" s="186">
        <v>0</v>
      </c>
      <c r="I32" s="186"/>
      <c r="J32" s="206">
        <f t="shared" si="0"/>
        <v>0</v>
      </c>
    </row>
    <row r="33" spans="1:10" hidden="1">
      <c r="A33" s="186" t="s">
        <v>544</v>
      </c>
      <c r="B33" s="186" t="s">
        <v>606</v>
      </c>
      <c r="C33" s="188">
        <v>81</v>
      </c>
      <c r="D33" s="196" t="s">
        <v>672</v>
      </c>
      <c r="E33" s="195"/>
      <c r="F33" s="196" t="s">
        <v>545</v>
      </c>
      <c r="G33" s="197" t="s">
        <v>568</v>
      </c>
      <c r="H33" s="186">
        <v>24.010999999999999</v>
      </c>
      <c r="I33" s="196" t="s">
        <v>611</v>
      </c>
      <c r="J33" s="206">
        <f t="shared" si="0"/>
        <v>149.68457000000001</v>
      </c>
    </row>
    <row r="34" spans="1:10" hidden="1">
      <c r="A34" s="186" t="s">
        <v>544</v>
      </c>
      <c r="B34" s="200" t="s">
        <v>606</v>
      </c>
      <c r="C34" s="188">
        <v>84</v>
      </c>
      <c r="D34" s="196" t="s">
        <v>673</v>
      </c>
      <c r="E34" s="195"/>
      <c r="F34" s="196" t="s">
        <v>545</v>
      </c>
      <c r="G34" s="197" t="s">
        <v>569</v>
      </c>
      <c r="H34" s="186">
        <v>0</v>
      </c>
      <c r="I34" s="186"/>
      <c r="J34" s="206">
        <f t="shared" si="0"/>
        <v>0</v>
      </c>
    </row>
    <row r="35" spans="1:10" hidden="1">
      <c r="A35" s="186" t="s">
        <v>544</v>
      </c>
      <c r="B35" s="186" t="s">
        <v>606</v>
      </c>
      <c r="C35" s="188">
        <v>86</v>
      </c>
      <c r="D35" s="196" t="s">
        <v>674</v>
      </c>
      <c r="E35" s="195"/>
      <c r="F35" s="196" t="s">
        <v>545</v>
      </c>
      <c r="G35" s="197" t="s">
        <v>570</v>
      </c>
      <c r="H35" s="186">
        <v>8.3309999999999995</v>
      </c>
      <c r="I35" s="196" t="s">
        <v>612</v>
      </c>
      <c r="J35" s="206">
        <f t="shared" si="0"/>
        <v>51.935450000000003</v>
      </c>
    </row>
    <row r="36" spans="1:10" hidden="1">
      <c r="A36" s="186" t="s">
        <v>544</v>
      </c>
      <c r="B36" s="200" t="s">
        <v>606</v>
      </c>
      <c r="C36" s="188">
        <v>87</v>
      </c>
      <c r="D36" s="196" t="s">
        <v>675</v>
      </c>
      <c r="E36" s="195"/>
      <c r="F36" s="196" t="s">
        <v>545</v>
      </c>
      <c r="G36" s="197" t="s">
        <v>571</v>
      </c>
      <c r="H36" s="186">
        <v>6.5629999999999988</v>
      </c>
      <c r="I36" s="196" t="s">
        <v>613</v>
      </c>
      <c r="J36" s="206">
        <f t="shared" si="0"/>
        <v>40.913739999999997</v>
      </c>
    </row>
    <row r="37" spans="1:10" hidden="1">
      <c r="A37" s="186" t="s">
        <v>544</v>
      </c>
      <c r="B37" s="186" t="s">
        <v>606</v>
      </c>
      <c r="C37" s="188">
        <v>89</v>
      </c>
      <c r="D37" s="201" t="s">
        <v>634</v>
      </c>
      <c r="E37" s="195"/>
      <c r="F37" s="196" t="s">
        <v>545</v>
      </c>
      <c r="G37" s="197" t="s">
        <v>572</v>
      </c>
      <c r="H37" s="186">
        <v>0</v>
      </c>
      <c r="I37" s="186"/>
      <c r="J37" s="206">
        <f t="shared" si="0"/>
        <v>0</v>
      </c>
    </row>
    <row r="38" spans="1:10" hidden="1">
      <c r="A38" s="186" t="s">
        <v>544</v>
      </c>
      <c r="B38" s="200" t="s">
        <v>606</v>
      </c>
      <c r="C38" s="188">
        <v>93</v>
      </c>
      <c r="D38" s="196" t="s">
        <v>676</v>
      </c>
      <c r="E38" s="195"/>
      <c r="F38" s="196" t="s">
        <v>545</v>
      </c>
      <c r="G38" s="197" t="s">
        <v>573</v>
      </c>
      <c r="H38" s="186">
        <v>0</v>
      </c>
      <c r="I38" s="186"/>
      <c r="J38" s="206">
        <f t="shared" si="0"/>
        <v>0</v>
      </c>
    </row>
    <row r="39" spans="1:10" hidden="1">
      <c r="A39" s="186" t="s">
        <v>544</v>
      </c>
      <c r="B39" s="186" t="s">
        <v>606</v>
      </c>
      <c r="C39" s="188">
        <v>94</v>
      </c>
      <c r="D39" s="201" t="s">
        <v>677</v>
      </c>
      <c r="E39" s="195"/>
      <c r="F39" s="196" t="s">
        <v>545</v>
      </c>
      <c r="G39" s="197" t="s">
        <v>574</v>
      </c>
      <c r="H39" s="186">
        <v>0</v>
      </c>
      <c r="I39" s="186"/>
      <c r="J39" s="206">
        <f t="shared" si="0"/>
        <v>0</v>
      </c>
    </row>
    <row r="40" spans="1:10" hidden="1">
      <c r="A40" s="186" t="s">
        <v>544</v>
      </c>
      <c r="B40" s="200" t="s">
        <v>606</v>
      </c>
      <c r="C40" s="188">
        <v>253</v>
      </c>
      <c r="D40" s="202" t="s">
        <v>678</v>
      </c>
      <c r="E40" s="195"/>
      <c r="F40" s="196" t="s">
        <v>545</v>
      </c>
      <c r="G40" s="197" t="s">
        <v>575</v>
      </c>
      <c r="H40" s="186">
        <v>0</v>
      </c>
      <c r="I40" s="186"/>
      <c r="J40" s="206">
        <f t="shared" si="0"/>
        <v>0</v>
      </c>
    </row>
    <row r="41" spans="1:10" hidden="1">
      <c r="A41" s="186" t="s">
        <v>544</v>
      </c>
      <c r="B41" s="186" t="s">
        <v>606</v>
      </c>
      <c r="C41" s="188">
        <v>105</v>
      </c>
      <c r="D41" s="196" t="s">
        <v>679</v>
      </c>
      <c r="E41" s="195"/>
      <c r="F41" s="196" t="s">
        <v>545</v>
      </c>
      <c r="G41" s="197" t="s">
        <v>576</v>
      </c>
      <c r="H41" s="186">
        <v>28.521000000000001</v>
      </c>
      <c r="I41" s="196" t="s">
        <v>614</v>
      </c>
      <c r="J41" s="206">
        <f t="shared" si="0"/>
        <v>177.79991000000001</v>
      </c>
    </row>
    <row r="42" spans="1:10" hidden="1">
      <c r="A42" s="186" t="s">
        <v>544</v>
      </c>
      <c r="B42" s="200" t="s">
        <v>606</v>
      </c>
      <c r="C42" s="188">
        <v>109</v>
      </c>
      <c r="D42" s="196" t="s">
        <v>680</v>
      </c>
      <c r="E42" s="195"/>
      <c r="F42" s="196" t="s">
        <v>545</v>
      </c>
      <c r="G42" s="197" t="s">
        <v>577</v>
      </c>
      <c r="H42" s="186">
        <v>0</v>
      </c>
      <c r="I42" s="186"/>
      <c r="J42" s="206">
        <f t="shared" si="0"/>
        <v>0</v>
      </c>
    </row>
    <row r="43" spans="1:10" hidden="1">
      <c r="A43" s="186" t="s">
        <v>544</v>
      </c>
      <c r="B43" s="186" t="s">
        <v>606</v>
      </c>
      <c r="C43" s="188">
        <v>110</v>
      </c>
      <c r="D43" s="196" t="s">
        <v>681</v>
      </c>
      <c r="E43" s="195"/>
      <c r="F43" s="196" t="s">
        <v>545</v>
      </c>
      <c r="G43" s="197" t="s">
        <v>578</v>
      </c>
      <c r="H43" s="186">
        <v>5.694</v>
      </c>
      <c r="I43" s="196" t="s">
        <v>615</v>
      </c>
      <c r="J43" s="206">
        <f t="shared" si="0"/>
        <v>35.496400000000001</v>
      </c>
    </row>
    <row r="44" spans="1:10" hidden="1">
      <c r="A44" s="186" t="s">
        <v>544</v>
      </c>
      <c r="B44" s="200" t="s">
        <v>606</v>
      </c>
      <c r="C44" s="188">
        <v>251</v>
      </c>
      <c r="D44" s="201" t="s">
        <v>682</v>
      </c>
      <c r="E44" s="195"/>
      <c r="F44" s="196" t="s">
        <v>545</v>
      </c>
      <c r="G44" s="197" t="s">
        <v>579</v>
      </c>
      <c r="H44" s="186">
        <v>0</v>
      </c>
      <c r="I44" s="186"/>
      <c r="J44" s="206">
        <f t="shared" si="0"/>
        <v>0</v>
      </c>
    </row>
    <row r="45" spans="1:10" hidden="1">
      <c r="A45" s="186" t="s">
        <v>544</v>
      </c>
      <c r="B45" s="186" t="s">
        <v>606</v>
      </c>
      <c r="C45" s="188">
        <v>252</v>
      </c>
      <c r="D45" s="201" t="s">
        <v>683</v>
      </c>
      <c r="E45" s="195"/>
      <c r="F45" s="196" t="s">
        <v>545</v>
      </c>
      <c r="G45" s="197" t="s">
        <v>580</v>
      </c>
      <c r="H45" s="186">
        <v>0</v>
      </c>
      <c r="I45" s="186"/>
      <c r="J45" s="206">
        <f t="shared" si="0"/>
        <v>0</v>
      </c>
    </row>
    <row r="46" spans="1:10" hidden="1">
      <c r="A46" s="186" t="s">
        <v>544</v>
      </c>
      <c r="B46" s="200" t="s">
        <v>606</v>
      </c>
      <c r="C46" s="188">
        <v>112</v>
      </c>
      <c r="D46" s="196" t="s">
        <v>684</v>
      </c>
      <c r="E46" s="195"/>
      <c r="F46" s="196" t="s">
        <v>545</v>
      </c>
      <c r="G46" s="197" t="s">
        <v>581</v>
      </c>
      <c r="H46" s="186">
        <v>0</v>
      </c>
      <c r="I46" s="186"/>
      <c r="J46" s="206">
        <f t="shared" si="0"/>
        <v>0</v>
      </c>
    </row>
    <row r="47" spans="1:10" hidden="1">
      <c r="A47" s="186" t="s">
        <v>544</v>
      </c>
      <c r="B47" s="186" t="s">
        <v>606</v>
      </c>
      <c r="C47" s="188">
        <v>115</v>
      </c>
      <c r="D47" s="196" t="s">
        <v>685</v>
      </c>
      <c r="E47" s="195"/>
      <c r="F47" s="196" t="s">
        <v>545</v>
      </c>
      <c r="G47" s="197" t="s">
        <v>582</v>
      </c>
      <c r="H47" s="186">
        <v>0</v>
      </c>
      <c r="I47" s="186"/>
      <c r="J47" s="206">
        <f t="shared" si="0"/>
        <v>0</v>
      </c>
    </row>
    <row r="48" spans="1:10" hidden="1">
      <c r="A48" s="186" t="s">
        <v>544</v>
      </c>
      <c r="B48" s="200" t="s">
        <v>606</v>
      </c>
      <c r="C48" s="188">
        <v>123</v>
      </c>
      <c r="D48" s="196" t="s">
        <v>686</v>
      </c>
      <c r="E48" s="195"/>
      <c r="F48" s="196" t="s">
        <v>545</v>
      </c>
      <c r="G48" s="197" t="s">
        <v>583</v>
      </c>
      <c r="H48" s="186">
        <v>0</v>
      </c>
      <c r="I48" s="186"/>
      <c r="J48" s="206">
        <f t="shared" si="0"/>
        <v>0</v>
      </c>
    </row>
    <row r="49" spans="1:10" hidden="1">
      <c r="A49" s="186" t="s">
        <v>544</v>
      </c>
      <c r="B49" s="186" t="s">
        <v>606</v>
      </c>
      <c r="C49" s="188">
        <v>125</v>
      </c>
      <c r="D49" s="196" t="s">
        <v>687</v>
      </c>
      <c r="E49" s="195"/>
      <c r="F49" s="196" t="s">
        <v>545</v>
      </c>
      <c r="G49" s="197" t="s">
        <v>584</v>
      </c>
      <c r="H49" s="186">
        <v>0</v>
      </c>
      <c r="I49" s="186"/>
      <c r="J49" s="206">
        <f t="shared" si="0"/>
        <v>0</v>
      </c>
    </row>
    <row r="50" spans="1:10" hidden="1">
      <c r="A50" s="186" t="s">
        <v>544</v>
      </c>
      <c r="B50" s="200" t="s">
        <v>606</v>
      </c>
      <c r="C50" s="188">
        <v>127</v>
      </c>
      <c r="D50" s="196" t="s">
        <v>688</v>
      </c>
      <c r="E50" s="195"/>
      <c r="F50" s="196" t="s">
        <v>545</v>
      </c>
      <c r="G50" s="197" t="s">
        <v>585</v>
      </c>
      <c r="H50" s="186">
        <v>0</v>
      </c>
      <c r="I50" s="196" t="s">
        <v>616</v>
      </c>
      <c r="J50" s="206">
        <f t="shared" si="0"/>
        <v>0</v>
      </c>
    </row>
    <row r="51" spans="1:10" hidden="1">
      <c r="A51" s="186" t="s">
        <v>544</v>
      </c>
      <c r="B51" s="186" t="s">
        <v>606</v>
      </c>
      <c r="C51" s="188">
        <v>129</v>
      </c>
      <c r="D51" s="196" t="s">
        <v>689</v>
      </c>
      <c r="E51" s="195"/>
      <c r="F51" s="196" t="s">
        <v>545</v>
      </c>
      <c r="G51" s="197" t="s">
        <v>586</v>
      </c>
      <c r="H51" s="186">
        <v>0</v>
      </c>
      <c r="I51" s="186"/>
      <c r="J51" s="206">
        <f t="shared" si="0"/>
        <v>0</v>
      </c>
    </row>
    <row r="52" spans="1:10" hidden="1">
      <c r="A52" s="186" t="s">
        <v>544</v>
      </c>
      <c r="B52" s="200" t="s">
        <v>606</v>
      </c>
      <c r="C52" s="188">
        <v>133</v>
      </c>
      <c r="D52" s="196" t="s">
        <v>690</v>
      </c>
      <c r="E52" s="195"/>
      <c r="F52" s="196" t="s">
        <v>545</v>
      </c>
      <c r="G52" s="197" t="s">
        <v>587</v>
      </c>
      <c r="H52" s="186">
        <v>12.189999999999998</v>
      </c>
      <c r="I52" s="196" t="s">
        <v>617</v>
      </c>
      <c r="J52" s="206">
        <f t="shared" si="0"/>
        <v>75.992459999999994</v>
      </c>
    </row>
    <row r="53" spans="1:10" hidden="1">
      <c r="A53" s="186" t="s">
        <v>544</v>
      </c>
      <c r="B53" s="186" t="s">
        <v>606</v>
      </c>
      <c r="C53" s="188">
        <v>136</v>
      </c>
      <c r="D53" s="196" t="s">
        <v>691</v>
      </c>
      <c r="E53" s="195"/>
      <c r="F53" s="196" t="s">
        <v>545</v>
      </c>
      <c r="G53" s="197" t="s">
        <v>588</v>
      </c>
      <c r="H53" s="186">
        <v>0</v>
      </c>
      <c r="I53" s="186"/>
      <c r="J53" s="206">
        <f t="shared" si="0"/>
        <v>0</v>
      </c>
    </row>
    <row r="54" spans="1:10" hidden="1">
      <c r="A54" s="186" t="s">
        <v>544</v>
      </c>
      <c r="B54" s="200" t="s">
        <v>606</v>
      </c>
      <c r="C54" s="188">
        <v>138</v>
      </c>
      <c r="D54" s="196" t="s">
        <v>692</v>
      </c>
      <c r="E54" s="195"/>
      <c r="F54" s="196" t="s">
        <v>545</v>
      </c>
      <c r="G54" s="197" t="s">
        <v>589</v>
      </c>
      <c r="H54" s="186">
        <v>0</v>
      </c>
      <c r="I54" s="186"/>
      <c r="J54" s="206">
        <f t="shared" si="0"/>
        <v>0</v>
      </c>
    </row>
    <row r="55" spans="1:10" hidden="1">
      <c r="A55" s="186" t="s">
        <v>544</v>
      </c>
      <c r="B55" s="186" t="s">
        <v>606</v>
      </c>
      <c r="C55" s="188">
        <v>240</v>
      </c>
      <c r="D55" s="196" t="s">
        <v>693</v>
      </c>
      <c r="E55" s="195"/>
      <c r="F55" s="196" t="s">
        <v>545</v>
      </c>
      <c r="G55" s="197" t="s">
        <v>590</v>
      </c>
      <c r="H55" s="186">
        <v>0</v>
      </c>
      <c r="I55" s="186"/>
      <c r="J55" s="206">
        <f t="shared" si="0"/>
        <v>0</v>
      </c>
    </row>
    <row r="56" spans="1:10" hidden="1">
      <c r="A56" s="186" t="s">
        <v>544</v>
      </c>
      <c r="B56" s="200" t="s">
        <v>606</v>
      </c>
      <c r="C56" s="188">
        <v>144</v>
      </c>
      <c r="D56" s="196" t="s">
        <v>694</v>
      </c>
      <c r="E56" s="195"/>
      <c r="F56" s="196" t="s">
        <v>545</v>
      </c>
      <c r="G56" s="197" t="s">
        <v>591</v>
      </c>
      <c r="H56" s="186">
        <v>13.398</v>
      </c>
      <c r="I56" s="196" t="s">
        <v>618</v>
      </c>
      <c r="J56" s="206">
        <f t="shared" si="0"/>
        <v>83.523129999999995</v>
      </c>
    </row>
    <row r="57" spans="1:10" hidden="1">
      <c r="A57" s="186" t="s">
        <v>544</v>
      </c>
      <c r="B57" s="186" t="s">
        <v>606</v>
      </c>
      <c r="C57" s="188">
        <v>146</v>
      </c>
      <c r="D57" s="196" t="s">
        <v>695</v>
      </c>
      <c r="E57" s="195"/>
      <c r="F57" s="196" t="s">
        <v>545</v>
      </c>
      <c r="G57" s="197" t="s">
        <v>592</v>
      </c>
      <c r="H57" s="186">
        <v>0</v>
      </c>
      <c r="I57" s="186"/>
      <c r="J57" s="206">
        <f t="shared" si="0"/>
        <v>0</v>
      </c>
    </row>
    <row r="58" spans="1:10" hidden="1">
      <c r="A58" s="186" t="s">
        <v>544</v>
      </c>
      <c r="B58" s="200" t="s">
        <v>606</v>
      </c>
      <c r="C58" s="188">
        <v>148</v>
      </c>
      <c r="D58" s="196" t="s">
        <v>696</v>
      </c>
      <c r="E58" s="195"/>
      <c r="F58" s="196" t="s">
        <v>545</v>
      </c>
      <c r="G58" s="197" t="s">
        <v>593</v>
      </c>
      <c r="H58" s="186">
        <v>0</v>
      </c>
      <c r="I58" s="186"/>
      <c r="J58" s="206">
        <f t="shared" si="0"/>
        <v>0</v>
      </c>
    </row>
    <row r="59" spans="1:10" hidden="1">
      <c r="A59" s="186" t="s">
        <v>544</v>
      </c>
      <c r="B59" s="186" t="s">
        <v>606</v>
      </c>
      <c r="C59" s="188">
        <v>152</v>
      </c>
      <c r="D59" s="196" t="s">
        <v>697</v>
      </c>
      <c r="E59" s="195"/>
      <c r="F59" s="196" t="s">
        <v>545</v>
      </c>
      <c r="G59" s="197" t="s">
        <v>594</v>
      </c>
      <c r="H59" s="186">
        <v>4.3759999999999986</v>
      </c>
      <c r="I59" s="196" t="s">
        <v>619</v>
      </c>
      <c r="J59" s="206">
        <f t="shared" si="0"/>
        <v>27.279979999999998</v>
      </c>
    </row>
    <row r="60" spans="1:10" hidden="1">
      <c r="A60" s="186" t="s">
        <v>544</v>
      </c>
      <c r="B60" s="200" t="s">
        <v>606</v>
      </c>
      <c r="C60" s="188">
        <v>156</v>
      </c>
      <c r="D60" s="196" t="s">
        <v>698</v>
      </c>
      <c r="E60" s="195"/>
      <c r="F60" s="196" t="s">
        <v>545</v>
      </c>
      <c r="G60" s="197" t="s">
        <v>595</v>
      </c>
      <c r="H60" s="186">
        <v>0</v>
      </c>
      <c r="I60" s="186"/>
      <c r="J60" s="206">
        <f t="shared" si="0"/>
        <v>0</v>
      </c>
    </row>
    <row r="61" spans="1:10" hidden="1">
      <c r="A61" s="186" t="s">
        <v>544</v>
      </c>
      <c r="B61" s="186" t="s">
        <v>606</v>
      </c>
      <c r="C61" s="188">
        <v>160</v>
      </c>
      <c r="D61" s="196" t="s">
        <v>699</v>
      </c>
      <c r="E61" s="195"/>
      <c r="F61" s="196" t="s">
        <v>545</v>
      </c>
      <c r="G61" s="197" t="s">
        <v>596</v>
      </c>
      <c r="H61" s="186">
        <v>0</v>
      </c>
      <c r="I61" s="186"/>
      <c r="J61" s="206">
        <f t="shared" si="0"/>
        <v>0</v>
      </c>
    </row>
    <row r="62" spans="1:10" hidden="1">
      <c r="A62" s="186" t="s">
        <v>544</v>
      </c>
      <c r="B62" s="200" t="s">
        <v>606</v>
      </c>
      <c r="C62" s="188">
        <v>162</v>
      </c>
      <c r="D62" s="196" t="s">
        <v>700</v>
      </c>
      <c r="E62" s="195"/>
      <c r="F62" s="196" t="s">
        <v>545</v>
      </c>
      <c r="G62" s="197" t="s">
        <v>597</v>
      </c>
      <c r="H62" s="186">
        <v>0</v>
      </c>
      <c r="I62" s="186"/>
      <c r="J62" s="206">
        <f t="shared" si="0"/>
        <v>0</v>
      </c>
    </row>
    <row r="63" spans="1:10" hidden="1">
      <c r="A63" s="186" t="s">
        <v>544</v>
      </c>
      <c r="B63" s="186" t="s">
        <v>606</v>
      </c>
      <c r="C63" s="188">
        <v>164</v>
      </c>
      <c r="D63" s="196" t="s">
        <v>701</v>
      </c>
      <c r="E63" s="195"/>
      <c r="F63" s="196" t="s">
        <v>545</v>
      </c>
      <c r="G63" s="197" t="s">
        <v>598</v>
      </c>
      <c r="H63" s="186">
        <v>0</v>
      </c>
      <c r="I63" s="186"/>
      <c r="J63" s="206">
        <f t="shared" si="0"/>
        <v>0</v>
      </c>
    </row>
    <row r="64" spans="1:10" hidden="1">
      <c r="A64" s="186" t="s">
        <v>544</v>
      </c>
      <c r="B64" s="200" t="s">
        <v>606</v>
      </c>
      <c r="C64" s="188">
        <v>167</v>
      </c>
      <c r="D64" s="196" t="s">
        <v>702</v>
      </c>
      <c r="E64" s="195"/>
      <c r="F64" s="196" t="s">
        <v>545</v>
      </c>
      <c r="G64" s="197" t="s">
        <v>599</v>
      </c>
      <c r="H64" s="186">
        <v>8.9079999999999995</v>
      </c>
      <c r="I64" s="196" t="s">
        <v>620</v>
      </c>
      <c r="J64" s="206">
        <f t="shared" si="0"/>
        <v>55.532470000000004</v>
      </c>
    </row>
    <row r="65" spans="1:10" hidden="1">
      <c r="A65" s="186" t="s">
        <v>544</v>
      </c>
      <c r="B65" s="186" t="s">
        <v>606</v>
      </c>
      <c r="C65" s="188">
        <v>169</v>
      </c>
      <c r="D65" s="196" t="s">
        <v>703</v>
      </c>
      <c r="E65" s="195"/>
      <c r="F65" s="196" t="s">
        <v>545</v>
      </c>
      <c r="G65" s="197" t="s">
        <v>600</v>
      </c>
      <c r="H65" s="186">
        <v>11.004</v>
      </c>
      <c r="I65" s="196" t="s">
        <v>621</v>
      </c>
      <c r="J65" s="206">
        <f t="shared" si="0"/>
        <v>68.598939999999999</v>
      </c>
    </row>
    <row r="66" spans="1:10" hidden="1">
      <c r="A66" s="186" t="s">
        <v>544</v>
      </c>
      <c r="B66" s="200" t="s">
        <v>606</v>
      </c>
      <c r="C66" s="188">
        <v>172</v>
      </c>
      <c r="D66" s="196" t="s">
        <v>704</v>
      </c>
      <c r="E66" s="195"/>
      <c r="F66" s="196" t="s">
        <v>545</v>
      </c>
      <c r="G66" s="197" t="s">
        <v>601</v>
      </c>
      <c r="H66" s="186">
        <v>0</v>
      </c>
      <c r="I66" s="186"/>
      <c r="J66" s="206">
        <f t="shared" si="0"/>
        <v>0</v>
      </c>
    </row>
    <row r="67" spans="1:10" hidden="1">
      <c r="A67" s="186" t="s">
        <v>544</v>
      </c>
      <c r="B67" s="186" t="s">
        <v>606</v>
      </c>
      <c r="C67" s="188">
        <v>173</v>
      </c>
      <c r="D67" s="196" t="s">
        <v>705</v>
      </c>
      <c r="E67" s="195"/>
      <c r="F67" s="196" t="s">
        <v>545</v>
      </c>
      <c r="G67" s="197" t="s">
        <v>602</v>
      </c>
      <c r="H67" s="186">
        <v>14.02</v>
      </c>
      <c r="I67" s="196" t="s">
        <v>622</v>
      </c>
      <c r="J67" s="206">
        <f t="shared" si="0"/>
        <v>87.400679999999994</v>
      </c>
    </row>
    <row r="68" spans="1:10" hidden="1">
      <c r="A68" s="186" t="s">
        <v>544</v>
      </c>
      <c r="B68" s="200" t="s">
        <v>606</v>
      </c>
      <c r="C68" s="188">
        <v>176</v>
      </c>
      <c r="D68" s="196" t="s">
        <v>706</v>
      </c>
      <c r="E68" s="195"/>
      <c r="F68" s="196" t="s">
        <v>545</v>
      </c>
      <c r="G68" s="197" t="s">
        <v>603</v>
      </c>
      <c r="H68" s="186">
        <v>6.2249999999999996</v>
      </c>
      <c r="I68" s="196" t="s">
        <v>623</v>
      </c>
      <c r="J68" s="206">
        <f t="shared" si="0"/>
        <v>38.806649999999998</v>
      </c>
    </row>
    <row r="69" spans="1:10" hidden="1">
      <c r="A69" s="186" t="s">
        <v>544</v>
      </c>
      <c r="B69" s="186" t="s">
        <v>606</v>
      </c>
      <c r="C69" s="188">
        <v>178</v>
      </c>
      <c r="D69" s="196" t="s">
        <v>707</v>
      </c>
      <c r="E69" s="195"/>
      <c r="F69" s="196" t="s">
        <v>545</v>
      </c>
      <c r="G69" s="197" t="s">
        <v>604</v>
      </c>
      <c r="H69" s="186">
        <v>0</v>
      </c>
      <c r="I69" s="186"/>
      <c r="J69" s="206">
        <f t="shared" si="0"/>
        <v>0</v>
      </c>
    </row>
    <row r="70" spans="1:10" hidden="1">
      <c r="A70" s="186" t="s">
        <v>544</v>
      </c>
      <c r="B70" s="200" t="s">
        <v>606</v>
      </c>
      <c r="C70" s="188">
        <v>180</v>
      </c>
      <c r="D70" s="196" t="s">
        <v>708</v>
      </c>
      <c r="E70" s="195"/>
      <c r="F70" s="196" t="s">
        <v>545</v>
      </c>
      <c r="G70" s="197" t="s">
        <v>605</v>
      </c>
      <c r="H70" s="186">
        <v>0</v>
      </c>
      <c r="I70" s="186"/>
      <c r="J70" s="206">
        <f t="shared" si="0"/>
        <v>0</v>
      </c>
    </row>
    <row r="71" spans="1:10">
      <c r="A71" s="186" t="s">
        <v>544</v>
      </c>
      <c r="B71" s="200" t="s">
        <v>624</v>
      </c>
      <c r="C71" s="188">
        <v>48</v>
      </c>
      <c r="D71" s="196" t="s">
        <v>49</v>
      </c>
      <c r="E71" s="195" t="s">
        <v>2</v>
      </c>
      <c r="F71" s="196" t="s">
        <v>545</v>
      </c>
      <c r="G71" s="197" t="s">
        <v>187</v>
      </c>
      <c r="H71" s="186">
        <v>7.3319999999999999</v>
      </c>
      <c r="I71" s="196" t="s">
        <v>625</v>
      </c>
      <c r="J71" s="206">
        <f t="shared" si="0"/>
        <v>45.707689999999999</v>
      </c>
    </row>
    <row r="72" spans="1:10">
      <c r="A72" s="186" t="s">
        <v>544</v>
      </c>
      <c r="B72" s="200" t="s">
        <v>624</v>
      </c>
      <c r="C72" s="188">
        <v>43</v>
      </c>
      <c r="D72" s="196" t="s">
        <v>47</v>
      </c>
      <c r="E72" s="195" t="s">
        <v>3</v>
      </c>
      <c r="F72" s="196" t="s">
        <v>545</v>
      </c>
      <c r="G72" s="197" t="s">
        <v>184</v>
      </c>
      <c r="H72" s="186">
        <v>0</v>
      </c>
      <c r="I72" s="186"/>
      <c r="J72" s="206">
        <f t="shared" si="0"/>
        <v>0</v>
      </c>
    </row>
    <row r="73" spans="1:10">
      <c r="A73" s="186" t="s">
        <v>544</v>
      </c>
      <c r="B73" s="200" t="s">
        <v>624</v>
      </c>
      <c r="C73" s="188">
        <v>139</v>
      </c>
      <c r="D73" s="196" t="s">
        <v>68</v>
      </c>
      <c r="E73" s="195" t="s">
        <v>4</v>
      </c>
      <c r="F73" s="196" t="s">
        <v>545</v>
      </c>
      <c r="G73" s="197" t="s">
        <v>230</v>
      </c>
      <c r="H73" s="186">
        <v>0</v>
      </c>
      <c r="I73" s="186"/>
      <c r="J73" s="206">
        <f t="shared" si="0"/>
        <v>0</v>
      </c>
    </row>
    <row r="74" spans="1:10">
      <c r="A74" s="186" t="s">
        <v>544</v>
      </c>
      <c r="B74" s="200" t="s">
        <v>624</v>
      </c>
      <c r="C74" s="188">
        <v>48</v>
      </c>
      <c r="D74" s="196" t="s">
        <v>49</v>
      </c>
      <c r="E74" s="195" t="s">
        <v>5</v>
      </c>
      <c r="F74" s="196" t="s">
        <v>545</v>
      </c>
      <c r="G74" s="197" t="s">
        <v>187</v>
      </c>
      <c r="H74" s="186">
        <v>8.6440000000000001</v>
      </c>
      <c r="I74" s="196" t="s">
        <v>626</v>
      </c>
      <c r="J74" s="206">
        <f t="shared" si="0"/>
        <v>53.886699999999998</v>
      </c>
    </row>
    <row r="75" spans="1:10">
      <c r="A75" s="186" t="s">
        <v>544</v>
      </c>
      <c r="B75" s="200" t="s">
        <v>624</v>
      </c>
      <c r="C75" s="188">
        <v>124</v>
      </c>
      <c r="D75" s="196" t="s">
        <v>63</v>
      </c>
      <c r="E75" s="195" t="s">
        <v>6</v>
      </c>
      <c r="F75" s="196" t="s">
        <v>545</v>
      </c>
      <c r="G75" s="197" t="s">
        <v>223</v>
      </c>
      <c r="H75" s="186">
        <v>0</v>
      </c>
      <c r="I75" s="186"/>
      <c r="J75" s="206">
        <f t="shared" si="0"/>
        <v>0</v>
      </c>
    </row>
    <row r="76" spans="1:10">
      <c r="A76" s="186" t="s">
        <v>544</v>
      </c>
      <c r="B76" s="200" t="s">
        <v>624</v>
      </c>
      <c r="C76" s="188">
        <v>126</v>
      </c>
      <c r="D76" s="196" t="s">
        <v>64</v>
      </c>
      <c r="E76" s="195" t="s">
        <v>7</v>
      </c>
      <c r="F76" s="196" t="s">
        <v>545</v>
      </c>
      <c r="G76" s="197" t="s">
        <v>224</v>
      </c>
      <c r="H76" s="186">
        <v>10.43</v>
      </c>
      <c r="I76" s="196" t="s">
        <v>627</v>
      </c>
      <c r="J76" s="206">
        <f t="shared" si="0"/>
        <v>65.020619999999994</v>
      </c>
    </row>
    <row r="77" spans="1:10">
      <c r="A77" s="186" t="s">
        <v>544</v>
      </c>
      <c r="B77" s="200" t="s">
        <v>624</v>
      </c>
      <c r="C77" s="188">
        <v>114</v>
      </c>
      <c r="D77" s="196" t="s">
        <v>60</v>
      </c>
      <c r="E77" s="195" t="s">
        <v>8</v>
      </c>
      <c r="F77" s="196" t="s">
        <v>545</v>
      </c>
      <c r="G77" s="197" t="s">
        <v>216</v>
      </c>
      <c r="H77" s="186">
        <v>0</v>
      </c>
      <c r="I77" s="186"/>
      <c r="J77" s="206">
        <f t="shared" ref="J77:J140" si="1">ROUND(H77*$J$2/1000,5)</f>
        <v>0</v>
      </c>
    </row>
    <row r="78" spans="1:10">
      <c r="A78" s="186" t="s">
        <v>544</v>
      </c>
      <c r="B78" s="200" t="s">
        <v>624</v>
      </c>
      <c r="C78" s="188">
        <v>177</v>
      </c>
      <c r="D78" s="196" t="s">
        <v>76</v>
      </c>
      <c r="E78" s="195" t="s">
        <v>9</v>
      </c>
      <c r="F78" s="196" t="s">
        <v>545</v>
      </c>
      <c r="G78" s="197" t="s">
        <v>252</v>
      </c>
      <c r="H78" s="186">
        <v>0</v>
      </c>
      <c r="I78" s="186"/>
      <c r="J78" s="206">
        <f t="shared" si="1"/>
        <v>0</v>
      </c>
    </row>
    <row r="79" spans="1:10">
      <c r="A79" s="186" t="s">
        <v>544</v>
      </c>
      <c r="B79" s="200" t="s">
        <v>624</v>
      </c>
      <c r="C79" s="188">
        <v>114</v>
      </c>
      <c r="D79" s="196" t="s">
        <v>60</v>
      </c>
      <c r="E79" s="195" t="s">
        <v>10</v>
      </c>
      <c r="F79" s="196" t="s">
        <v>545</v>
      </c>
      <c r="G79" s="197" t="s">
        <v>216</v>
      </c>
      <c r="H79" s="186">
        <v>23.166999999999998</v>
      </c>
      <c r="I79" s="196" t="s">
        <v>628</v>
      </c>
      <c r="J79" s="206">
        <f t="shared" si="1"/>
        <v>144.42308</v>
      </c>
    </row>
    <row r="80" spans="1:10">
      <c r="A80" s="186" t="s">
        <v>544</v>
      </c>
      <c r="B80" s="200" t="s">
        <v>624</v>
      </c>
      <c r="C80" s="188">
        <v>124</v>
      </c>
      <c r="D80" s="196" t="s">
        <v>63</v>
      </c>
      <c r="E80" s="195" t="s">
        <v>11</v>
      </c>
      <c r="F80" s="196" t="s">
        <v>545</v>
      </c>
      <c r="G80" s="197" t="s">
        <v>223</v>
      </c>
      <c r="H80" s="186">
        <v>10.903</v>
      </c>
      <c r="I80" s="196" t="s">
        <v>629</v>
      </c>
      <c r="J80" s="206">
        <f t="shared" si="1"/>
        <v>67.969300000000004</v>
      </c>
    </row>
    <row r="81" spans="1:10">
      <c r="A81" s="186" t="s">
        <v>544</v>
      </c>
      <c r="B81" s="200" t="s">
        <v>624</v>
      </c>
      <c r="C81" s="188">
        <v>147</v>
      </c>
      <c r="D81" s="196" t="s">
        <v>71</v>
      </c>
      <c r="E81" s="195" t="s">
        <v>12</v>
      </c>
      <c r="F81" s="196" t="s">
        <v>545</v>
      </c>
      <c r="G81" s="197" t="s">
        <v>237</v>
      </c>
      <c r="H81" s="186">
        <v>0</v>
      </c>
      <c r="I81" s="186"/>
      <c r="J81" s="206">
        <f t="shared" si="1"/>
        <v>0</v>
      </c>
    </row>
    <row r="82" spans="1:10">
      <c r="A82" s="186" t="s">
        <v>544</v>
      </c>
      <c r="B82" s="200" t="s">
        <v>624</v>
      </c>
      <c r="C82" s="188">
        <v>135</v>
      </c>
      <c r="D82" s="196" t="s">
        <v>66</v>
      </c>
      <c r="E82" s="195" t="s">
        <v>13</v>
      </c>
      <c r="F82" s="196" t="s">
        <v>545</v>
      </c>
      <c r="G82" s="197" t="s">
        <v>228</v>
      </c>
      <c r="H82" s="186">
        <v>0</v>
      </c>
      <c r="I82" s="196" t="s">
        <v>630</v>
      </c>
      <c r="J82" s="206">
        <f t="shared" si="1"/>
        <v>0</v>
      </c>
    </row>
    <row r="83" spans="1:10">
      <c r="A83" s="186" t="s">
        <v>544</v>
      </c>
      <c r="B83" s="200" t="s">
        <v>624</v>
      </c>
      <c r="C83" s="188">
        <v>128</v>
      </c>
      <c r="D83" s="196" t="s">
        <v>65</v>
      </c>
      <c r="E83" s="195" t="s">
        <v>14</v>
      </c>
      <c r="F83" s="196" t="s">
        <v>545</v>
      </c>
      <c r="G83" s="197" t="s">
        <v>225</v>
      </c>
      <c r="H83" s="186">
        <v>0</v>
      </c>
      <c r="I83" s="186"/>
      <c r="J83" s="206">
        <f t="shared" si="1"/>
        <v>0</v>
      </c>
    </row>
    <row r="84" spans="1:10">
      <c r="A84" s="186" t="s">
        <v>544</v>
      </c>
      <c r="B84" s="200" t="s">
        <v>624</v>
      </c>
      <c r="C84" s="188">
        <v>174</v>
      </c>
      <c r="D84" s="196" t="s">
        <v>75</v>
      </c>
      <c r="E84" s="195" t="s">
        <v>15</v>
      </c>
      <c r="F84" s="196" t="s">
        <v>545</v>
      </c>
      <c r="G84" s="197" t="s">
        <v>250</v>
      </c>
      <c r="H84" s="186">
        <v>0</v>
      </c>
      <c r="I84" s="186"/>
      <c r="J84" s="206">
        <f t="shared" si="1"/>
        <v>0</v>
      </c>
    </row>
    <row r="85" spans="1:10">
      <c r="A85" s="186" t="s">
        <v>544</v>
      </c>
      <c r="B85" s="200" t="s">
        <v>624</v>
      </c>
      <c r="C85" s="188">
        <v>47</v>
      </c>
      <c r="D85" s="196" t="s">
        <v>48</v>
      </c>
      <c r="E85" s="195" t="s">
        <v>16</v>
      </c>
      <c r="F85" s="196" t="s">
        <v>545</v>
      </c>
      <c r="G85" s="197" t="s">
        <v>186</v>
      </c>
      <c r="H85" s="186">
        <v>11.671999999999999</v>
      </c>
      <c r="I85" s="196" t="s">
        <v>631</v>
      </c>
      <c r="J85" s="206">
        <f t="shared" si="1"/>
        <v>72.763249999999999</v>
      </c>
    </row>
    <row r="86" spans="1:10">
      <c r="A86" s="186" t="s">
        <v>544</v>
      </c>
      <c r="B86" s="200" t="s">
        <v>624</v>
      </c>
      <c r="C86" s="188">
        <v>143</v>
      </c>
      <c r="D86" s="196" t="s">
        <v>69</v>
      </c>
      <c r="E86" s="195" t="s">
        <v>17</v>
      </c>
      <c r="F86" s="196" t="s">
        <v>545</v>
      </c>
      <c r="G86" s="197" t="s">
        <v>235</v>
      </c>
      <c r="H86" s="186">
        <v>0</v>
      </c>
      <c r="I86" s="196" t="s">
        <v>632</v>
      </c>
      <c r="J86" s="206">
        <f t="shared" si="1"/>
        <v>0</v>
      </c>
    </row>
    <row r="87" spans="1:10">
      <c r="A87" s="186" t="s">
        <v>544</v>
      </c>
      <c r="B87" s="200" t="s">
        <v>624</v>
      </c>
      <c r="C87" s="188">
        <v>124</v>
      </c>
      <c r="D87" s="196" t="s">
        <v>63</v>
      </c>
      <c r="E87" s="195" t="s">
        <v>18</v>
      </c>
      <c r="F87" s="196" t="s">
        <v>545</v>
      </c>
      <c r="G87" s="197" t="s">
        <v>223</v>
      </c>
      <c r="H87" s="186">
        <v>0</v>
      </c>
      <c r="I87" s="196"/>
      <c r="J87" s="206">
        <f t="shared" si="1"/>
        <v>0</v>
      </c>
    </row>
    <row r="88" spans="1:10">
      <c r="A88" s="186" t="s">
        <v>544</v>
      </c>
      <c r="B88" s="200" t="s">
        <v>624</v>
      </c>
      <c r="C88" s="188">
        <v>43</v>
      </c>
      <c r="D88" s="196" t="s">
        <v>47</v>
      </c>
      <c r="E88" s="195" t="s">
        <v>19</v>
      </c>
      <c r="F88" s="196" t="s">
        <v>545</v>
      </c>
      <c r="G88" s="197" t="s">
        <v>184</v>
      </c>
      <c r="H88" s="186">
        <v>10.182999999999998</v>
      </c>
      <c r="I88" s="196" t="s">
        <v>633</v>
      </c>
      <c r="J88" s="206">
        <f t="shared" si="1"/>
        <v>63.480820000000001</v>
      </c>
    </row>
    <row r="89" spans="1:10">
      <c r="A89" s="186" t="s">
        <v>544</v>
      </c>
      <c r="B89" s="200" t="s">
        <v>624</v>
      </c>
      <c r="C89" s="188">
        <v>134</v>
      </c>
      <c r="D89" s="196" t="s">
        <v>67</v>
      </c>
      <c r="E89" s="195" t="s">
        <v>20</v>
      </c>
      <c r="F89" s="196" t="s">
        <v>545</v>
      </c>
      <c r="G89" s="197" t="s">
        <v>227</v>
      </c>
      <c r="H89" s="186">
        <v>0</v>
      </c>
      <c r="I89" s="186"/>
      <c r="J89" s="206">
        <f t="shared" si="1"/>
        <v>0</v>
      </c>
    </row>
    <row r="90" spans="1:10">
      <c r="A90" s="186" t="s">
        <v>544</v>
      </c>
      <c r="B90" s="200" t="s">
        <v>624</v>
      </c>
      <c r="C90" s="188">
        <v>134</v>
      </c>
      <c r="D90" s="196" t="s">
        <v>67</v>
      </c>
      <c r="E90" s="195" t="s">
        <v>21</v>
      </c>
      <c r="F90" s="196" t="s">
        <v>545</v>
      </c>
      <c r="G90" s="197" t="s">
        <v>227</v>
      </c>
      <c r="H90" s="186">
        <v>2.8739999999999997</v>
      </c>
      <c r="I90" s="196" t="s">
        <v>635</v>
      </c>
      <c r="J90" s="206">
        <f t="shared" si="1"/>
        <v>17.916519999999998</v>
      </c>
    </row>
    <row r="91" spans="1:10">
      <c r="A91" s="186" t="s">
        <v>544</v>
      </c>
      <c r="B91" s="200" t="s">
        <v>624</v>
      </c>
      <c r="C91" s="188">
        <v>48</v>
      </c>
      <c r="D91" s="196" t="s">
        <v>49</v>
      </c>
      <c r="E91" s="195" t="s">
        <v>22</v>
      </c>
      <c r="F91" s="196" t="s">
        <v>545</v>
      </c>
      <c r="G91" s="197" t="s">
        <v>187</v>
      </c>
      <c r="H91" s="186">
        <v>9.6339999999999986</v>
      </c>
      <c r="I91" s="196" t="s">
        <v>636</v>
      </c>
      <c r="J91" s="206">
        <f t="shared" si="1"/>
        <v>60.05836</v>
      </c>
    </row>
    <row r="92" spans="1:10">
      <c r="A92" s="186" t="s">
        <v>544</v>
      </c>
      <c r="B92" s="200" t="s">
        <v>624</v>
      </c>
      <c r="C92" s="188">
        <v>114</v>
      </c>
      <c r="D92" s="196" t="s">
        <v>60</v>
      </c>
      <c r="E92" s="195" t="s">
        <v>23</v>
      </c>
      <c r="F92" s="196" t="s">
        <v>545</v>
      </c>
      <c r="G92" s="197" t="s">
        <v>216</v>
      </c>
      <c r="H92" s="186">
        <v>0</v>
      </c>
      <c r="I92" s="186"/>
      <c r="J92" s="206">
        <f t="shared" si="1"/>
        <v>0</v>
      </c>
    </row>
    <row r="93" spans="1:10">
      <c r="A93" s="186" t="s">
        <v>544</v>
      </c>
      <c r="B93" s="200" t="s">
        <v>624</v>
      </c>
      <c r="C93" s="188">
        <v>124</v>
      </c>
      <c r="D93" s="196" t="s">
        <v>63</v>
      </c>
      <c r="E93" s="195" t="s">
        <v>24</v>
      </c>
      <c r="F93" s="196" t="s">
        <v>545</v>
      </c>
      <c r="G93" s="197" t="s">
        <v>223</v>
      </c>
      <c r="H93" s="186">
        <v>0</v>
      </c>
      <c r="I93" s="186"/>
      <c r="J93" s="206">
        <f t="shared" si="1"/>
        <v>0</v>
      </c>
    </row>
    <row r="94" spans="1:10">
      <c r="A94" s="186" t="s">
        <v>544</v>
      </c>
      <c r="B94" s="200" t="s">
        <v>624</v>
      </c>
      <c r="C94" s="188">
        <v>145</v>
      </c>
      <c r="D94" s="196" t="s">
        <v>70</v>
      </c>
      <c r="E94" s="195" t="s">
        <v>25</v>
      </c>
      <c r="F94" s="196" t="s">
        <v>545</v>
      </c>
      <c r="G94" s="197" t="s">
        <v>236</v>
      </c>
      <c r="H94" s="186">
        <v>12.041999999999998</v>
      </c>
      <c r="I94" s="196" t="s">
        <v>637</v>
      </c>
      <c r="J94" s="206">
        <f t="shared" si="1"/>
        <v>75.069829999999996</v>
      </c>
    </row>
    <row r="95" spans="1:10">
      <c r="A95" s="186" t="s">
        <v>544</v>
      </c>
      <c r="B95" s="200" t="s">
        <v>624</v>
      </c>
      <c r="C95" s="188">
        <v>126</v>
      </c>
      <c r="D95" s="196" t="s">
        <v>64</v>
      </c>
      <c r="E95" s="195" t="s">
        <v>26</v>
      </c>
      <c r="F95" s="196" t="s">
        <v>545</v>
      </c>
      <c r="G95" s="197" t="s">
        <v>224</v>
      </c>
      <c r="H95" s="186">
        <v>3.3829999999999991</v>
      </c>
      <c r="I95" s="196" t="s">
        <v>638</v>
      </c>
      <c r="J95" s="206">
        <f t="shared" si="1"/>
        <v>21.08962</v>
      </c>
    </row>
    <row r="96" spans="1:10">
      <c r="A96" s="186" t="s">
        <v>544</v>
      </c>
      <c r="B96" s="200" t="s">
        <v>624</v>
      </c>
      <c r="C96" s="188">
        <v>147</v>
      </c>
      <c r="D96" s="196" t="s">
        <v>71</v>
      </c>
      <c r="E96" s="195" t="s">
        <v>27</v>
      </c>
      <c r="F96" s="196" t="s">
        <v>545</v>
      </c>
      <c r="G96" s="197" t="s">
        <v>237</v>
      </c>
      <c r="H96" s="186">
        <v>0</v>
      </c>
      <c r="I96" s="186"/>
      <c r="J96" s="206">
        <f t="shared" si="1"/>
        <v>0</v>
      </c>
    </row>
    <row r="97" spans="1:10">
      <c r="A97" s="186" t="s">
        <v>544</v>
      </c>
      <c r="B97" s="200" t="s">
        <v>624</v>
      </c>
      <c r="C97" s="188">
        <v>128</v>
      </c>
      <c r="D97" s="196" t="s">
        <v>65</v>
      </c>
      <c r="E97" s="195" t="s">
        <v>28</v>
      </c>
      <c r="F97" s="196" t="s">
        <v>545</v>
      </c>
      <c r="G97" s="197" t="s">
        <v>225</v>
      </c>
      <c r="H97" s="186">
        <v>0</v>
      </c>
      <c r="I97" s="186"/>
      <c r="J97" s="206">
        <f t="shared" si="1"/>
        <v>0</v>
      </c>
    </row>
    <row r="98" spans="1:10">
      <c r="A98" s="186" t="s">
        <v>544</v>
      </c>
      <c r="B98" s="200" t="s">
        <v>624</v>
      </c>
      <c r="C98" s="188">
        <v>143</v>
      </c>
      <c r="D98" s="196" t="s">
        <v>69</v>
      </c>
      <c r="E98" s="195" t="s">
        <v>29</v>
      </c>
      <c r="F98" s="196" t="s">
        <v>545</v>
      </c>
      <c r="G98" s="197" t="s">
        <v>235</v>
      </c>
      <c r="H98" s="186">
        <v>8.6839999999999993</v>
      </c>
      <c r="I98" s="196" t="s">
        <v>639</v>
      </c>
      <c r="J98" s="206">
        <f t="shared" si="1"/>
        <v>54.136060000000001</v>
      </c>
    </row>
    <row r="99" spans="1:10">
      <c r="A99" s="186" t="s">
        <v>544</v>
      </c>
      <c r="B99" s="200" t="s">
        <v>624</v>
      </c>
      <c r="C99" s="188">
        <v>145</v>
      </c>
      <c r="D99" s="196" t="s">
        <v>70</v>
      </c>
      <c r="E99" s="195" t="s">
        <v>30</v>
      </c>
      <c r="F99" s="196" t="s">
        <v>545</v>
      </c>
      <c r="G99" s="197" t="s">
        <v>236</v>
      </c>
      <c r="H99" s="186">
        <v>0</v>
      </c>
      <c r="I99" s="186"/>
      <c r="J99" s="206">
        <f t="shared" si="1"/>
        <v>0</v>
      </c>
    </row>
    <row r="100" spans="1:10">
      <c r="A100" s="186" t="s">
        <v>544</v>
      </c>
      <c r="B100" s="200" t="s">
        <v>624</v>
      </c>
      <c r="C100" s="188">
        <v>174</v>
      </c>
      <c r="D100" s="196" t="s">
        <v>75</v>
      </c>
      <c r="E100" s="195" t="s">
        <v>31</v>
      </c>
      <c r="F100" s="196" t="s">
        <v>545</v>
      </c>
      <c r="G100" s="197" t="s">
        <v>250</v>
      </c>
      <c r="H100" s="186">
        <v>0</v>
      </c>
      <c r="I100" s="186"/>
      <c r="J100" s="206">
        <f t="shared" si="1"/>
        <v>0</v>
      </c>
    </row>
    <row r="101" spans="1:10">
      <c r="A101" s="186" t="s">
        <v>544</v>
      </c>
      <c r="B101" s="200" t="s">
        <v>624</v>
      </c>
      <c r="C101" s="188">
        <v>145</v>
      </c>
      <c r="D101" s="196" t="s">
        <v>70</v>
      </c>
      <c r="E101" s="195" t="s">
        <v>32</v>
      </c>
      <c r="F101" s="196" t="s">
        <v>545</v>
      </c>
      <c r="G101" s="197" t="s">
        <v>236</v>
      </c>
      <c r="H101" s="186">
        <v>0</v>
      </c>
      <c r="I101" s="196" t="s">
        <v>640</v>
      </c>
      <c r="J101" s="206">
        <f t="shared" si="1"/>
        <v>0</v>
      </c>
    </row>
    <row r="102" spans="1:10">
      <c r="A102" s="186" t="s">
        <v>544</v>
      </c>
      <c r="B102" s="200" t="s">
        <v>624</v>
      </c>
      <c r="C102" s="188">
        <v>39</v>
      </c>
      <c r="D102" s="196" t="s">
        <v>46</v>
      </c>
      <c r="E102" s="195" t="s">
        <v>33</v>
      </c>
      <c r="F102" s="196" t="s">
        <v>545</v>
      </c>
      <c r="G102" s="197" t="s">
        <v>181</v>
      </c>
      <c r="H102" s="186">
        <v>18.510000000000002</v>
      </c>
      <c r="I102" s="196" t="s">
        <v>641</v>
      </c>
      <c r="J102" s="206">
        <f t="shared" si="1"/>
        <v>115.39134</v>
      </c>
    </row>
    <row r="103" spans="1:10">
      <c r="A103" s="186" t="s">
        <v>544</v>
      </c>
      <c r="B103" s="200" t="s">
        <v>624</v>
      </c>
      <c r="C103" s="188">
        <v>83</v>
      </c>
      <c r="D103" s="196" t="s">
        <v>50</v>
      </c>
      <c r="E103" s="195" t="s">
        <v>34</v>
      </c>
      <c r="F103" s="196" t="s">
        <v>545</v>
      </c>
      <c r="G103" s="197" t="s">
        <v>201</v>
      </c>
      <c r="H103" s="186">
        <v>0</v>
      </c>
      <c r="I103" s="186"/>
      <c r="J103" s="206">
        <f t="shared" si="1"/>
        <v>0</v>
      </c>
    </row>
    <row r="104" spans="1:10">
      <c r="A104" s="186" t="s">
        <v>544</v>
      </c>
      <c r="B104" s="200" t="s">
        <v>624</v>
      </c>
      <c r="C104" s="188">
        <v>135</v>
      </c>
      <c r="D104" s="196" t="s">
        <v>66</v>
      </c>
      <c r="E104" s="195" t="s">
        <v>35</v>
      </c>
      <c r="F104" s="196" t="s">
        <v>545</v>
      </c>
      <c r="G104" s="197" t="s">
        <v>228</v>
      </c>
      <c r="H104" s="186">
        <v>8.6470000000000002</v>
      </c>
      <c r="I104" s="196" t="s">
        <v>642</v>
      </c>
      <c r="J104" s="206">
        <f t="shared" si="1"/>
        <v>53.9054</v>
      </c>
    </row>
    <row r="105" spans="1:10">
      <c r="A105" s="186" t="s">
        <v>544</v>
      </c>
      <c r="B105" s="200" t="s">
        <v>624</v>
      </c>
      <c r="C105" s="188">
        <v>128</v>
      </c>
      <c r="D105" s="196" t="s">
        <v>65</v>
      </c>
      <c r="E105" s="195" t="s">
        <v>36</v>
      </c>
      <c r="F105" s="196" t="s">
        <v>545</v>
      </c>
      <c r="G105" s="197" t="s">
        <v>225</v>
      </c>
      <c r="H105" s="186">
        <v>0</v>
      </c>
      <c r="I105" s="186"/>
      <c r="J105" s="206">
        <f t="shared" si="1"/>
        <v>0</v>
      </c>
    </row>
    <row r="106" spans="1:10">
      <c r="A106" s="186" t="s">
        <v>544</v>
      </c>
      <c r="B106" s="200" t="s">
        <v>624</v>
      </c>
      <c r="C106" s="188">
        <v>166</v>
      </c>
      <c r="D106" s="196" t="s">
        <v>74</v>
      </c>
      <c r="E106" s="195" t="s">
        <v>37</v>
      </c>
      <c r="F106" s="196" t="s">
        <v>545</v>
      </c>
      <c r="G106" s="197" t="s">
        <v>246</v>
      </c>
      <c r="H106" s="186">
        <v>15.505000000000003</v>
      </c>
      <c r="I106" s="196" t="s">
        <v>643</v>
      </c>
      <c r="J106" s="206">
        <f t="shared" si="1"/>
        <v>96.658169999999998</v>
      </c>
    </row>
    <row r="107" spans="1:10">
      <c r="A107" s="186" t="s">
        <v>544</v>
      </c>
      <c r="B107" s="200" t="s">
        <v>624</v>
      </c>
      <c r="C107" s="188">
        <v>83</v>
      </c>
      <c r="D107" s="196" t="s">
        <v>50</v>
      </c>
      <c r="E107" s="195" t="s">
        <v>38</v>
      </c>
      <c r="F107" s="196" t="s">
        <v>545</v>
      </c>
      <c r="G107" s="197" t="s">
        <v>201</v>
      </c>
      <c r="H107" s="186">
        <v>23.509999999999998</v>
      </c>
      <c r="I107" s="196" t="s">
        <v>644</v>
      </c>
      <c r="J107" s="206">
        <f t="shared" si="1"/>
        <v>146.56134</v>
      </c>
    </row>
    <row r="108" spans="1:10">
      <c r="A108" s="186" t="s">
        <v>544</v>
      </c>
      <c r="B108" s="200" t="s">
        <v>624</v>
      </c>
      <c r="C108" s="188">
        <v>122</v>
      </c>
      <c r="D108" s="196" t="s">
        <v>62</v>
      </c>
      <c r="E108" s="195" t="s">
        <v>39</v>
      </c>
      <c r="F108" s="196" t="s">
        <v>545</v>
      </c>
      <c r="G108" s="197" t="s">
        <v>222</v>
      </c>
      <c r="H108" s="186">
        <v>0</v>
      </c>
      <c r="I108" s="186"/>
      <c r="J108" s="206">
        <f t="shared" si="1"/>
        <v>0</v>
      </c>
    </row>
    <row r="109" spans="1:10">
      <c r="A109" s="186" t="s">
        <v>544</v>
      </c>
      <c r="B109" s="200" t="s">
        <v>624</v>
      </c>
      <c r="C109" s="188">
        <v>143</v>
      </c>
      <c r="D109" s="196" t="s">
        <v>69</v>
      </c>
      <c r="E109" s="195" t="s">
        <v>40</v>
      </c>
      <c r="F109" s="196" t="s">
        <v>545</v>
      </c>
      <c r="G109" s="197" t="s">
        <v>235</v>
      </c>
      <c r="H109" s="186">
        <v>8.0359999999999996</v>
      </c>
      <c r="I109" s="196" t="s">
        <v>645</v>
      </c>
      <c r="J109" s="206">
        <f t="shared" si="1"/>
        <v>50.096420000000002</v>
      </c>
    </row>
    <row r="110" spans="1:10">
      <c r="A110" s="186" t="s">
        <v>544</v>
      </c>
      <c r="B110" s="200" t="s">
        <v>624</v>
      </c>
      <c r="C110" s="188">
        <v>116</v>
      </c>
      <c r="D110" s="196" t="s">
        <v>61</v>
      </c>
      <c r="E110" s="195" t="s">
        <v>127</v>
      </c>
      <c r="F110" s="196" t="s">
        <v>545</v>
      </c>
      <c r="G110" s="197" t="s">
        <v>217</v>
      </c>
      <c r="H110" s="186">
        <v>0</v>
      </c>
      <c r="I110" s="186"/>
      <c r="J110" s="206">
        <f t="shared" si="1"/>
        <v>0</v>
      </c>
    </row>
    <row r="111" spans="1:10">
      <c r="A111" s="186" t="s">
        <v>544</v>
      </c>
      <c r="B111" s="200" t="s">
        <v>624</v>
      </c>
      <c r="C111" s="188">
        <v>158</v>
      </c>
      <c r="D111" s="196" t="s">
        <v>73</v>
      </c>
      <c r="E111" s="195" t="s">
        <v>41</v>
      </c>
      <c r="F111" s="196" t="s">
        <v>545</v>
      </c>
      <c r="G111" s="197" t="s">
        <v>242</v>
      </c>
      <c r="H111" s="186">
        <v>0</v>
      </c>
      <c r="I111" s="186"/>
      <c r="J111" s="206">
        <f t="shared" si="1"/>
        <v>0</v>
      </c>
    </row>
    <row r="112" spans="1:10">
      <c r="A112" s="186" t="s">
        <v>544</v>
      </c>
      <c r="B112" s="200" t="s">
        <v>624</v>
      </c>
      <c r="C112" s="188">
        <v>48</v>
      </c>
      <c r="D112" s="196" t="s">
        <v>49</v>
      </c>
      <c r="E112" s="195" t="s">
        <v>42</v>
      </c>
      <c r="F112" s="196" t="s">
        <v>545</v>
      </c>
      <c r="G112" s="197" t="s">
        <v>187</v>
      </c>
      <c r="H112" s="186">
        <v>12.466000000000001</v>
      </c>
      <c r="I112" s="196" t="s">
        <v>646</v>
      </c>
      <c r="J112" s="206">
        <f t="shared" si="1"/>
        <v>77.713040000000007</v>
      </c>
    </row>
    <row r="113" spans="1:10">
      <c r="A113" s="186" t="s">
        <v>544</v>
      </c>
      <c r="B113" s="200" t="s">
        <v>624</v>
      </c>
      <c r="C113" s="188">
        <v>122</v>
      </c>
      <c r="D113" s="196" t="s">
        <v>62</v>
      </c>
      <c r="E113" s="195" t="s">
        <v>43</v>
      </c>
      <c r="F113" s="196" t="s">
        <v>545</v>
      </c>
      <c r="G113" s="197" t="s">
        <v>222</v>
      </c>
      <c r="H113" s="186">
        <v>0</v>
      </c>
      <c r="I113" s="186"/>
      <c r="J113" s="206">
        <f t="shared" si="1"/>
        <v>0</v>
      </c>
    </row>
    <row r="114" spans="1:10">
      <c r="A114" s="186" t="s">
        <v>544</v>
      </c>
      <c r="B114" s="200" t="s">
        <v>624</v>
      </c>
      <c r="C114" s="188">
        <v>47</v>
      </c>
      <c r="D114" s="196" t="s">
        <v>48</v>
      </c>
      <c r="E114" s="195" t="s">
        <v>44</v>
      </c>
      <c r="F114" s="196" t="s">
        <v>545</v>
      </c>
      <c r="G114" s="197" t="s">
        <v>186</v>
      </c>
      <c r="H114" s="186">
        <v>4.6659999999999995</v>
      </c>
      <c r="I114" s="196" t="s">
        <v>647</v>
      </c>
      <c r="J114" s="206">
        <f t="shared" si="1"/>
        <v>29.08784</v>
      </c>
    </row>
    <row r="115" spans="1:10">
      <c r="A115" s="186" t="s">
        <v>544</v>
      </c>
      <c r="B115" s="200" t="s">
        <v>624</v>
      </c>
      <c r="C115" s="188">
        <v>122</v>
      </c>
      <c r="D115" s="196" t="s">
        <v>62</v>
      </c>
      <c r="E115" s="195" t="s">
        <v>45</v>
      </c>
      <c r="F115" s="196" t="s">
        <v>545</v>
      </c>
      <c r="G115" s="197" t="s">
        <v>222</v>
      </c>
      <c r="H115" s="186">
        <v>0</v>
      </c>
      <c r="I115" s="186"/>
      <c r="J115" s="206">
        <f t="shared" si="1"/>
        <v>0</v>
      </c>
    </row>
    <row r="116" spans="1:10">
      <c r="A116" s="186" t="s">
        <v>544</v>
      </c>
      <c r="B116" s="200" t="s">
        <v>624</v>
      </c>
      <c r="C116" s="188">
        <v>39</v>
      </c>
      <c r="D116" s="196" t="s">
        <v>46</v>
      </c>
      <c r="E116" s="195"/>
      <c r="F116" s="196" t="s">
        <v>545</v>
      </c>
      <c r="G116" s="197" t="s">
        <v>181</v>
      </c>
      <c r="H116" s="186">
        <v>2.5000000000000008E-2</v>
      </c>
      <c r="I116" s="196" t="s">
        <v>648</v>
      </c>
      <c r="J116" s="206">
        <f t="shared" si="1"/>
        <v>0.15584999999999999</v>
      </c>
    </row>
    <row r="117" spans="1:10">
      <c r="A117" s="186" t="s">
        <v>544</v>
      </c>
      <c r="B117" s="200" t="s">
        <v>624</v>
      </c>
      <c r="C117" s="188">
        <v>43</v>
      </c>
      <c r="D117" s="196" t="s">
        <v>47</v>
      </c>
      <c r="E117" s="195"/>
      <c r="F117" s="196" t="s">
        <v>545</v>
      </c>
      <c r="G117" s="197" t="s">
        <v>184</v>
      </c>
      <c r="H117" s="186">
        <v>0</v>
      </c>
      <c r="I117" s="186"/>
      <c r="J117" s="206">
        <f t="shared" si="1"/>
        <v>0</v>
      </c>
    </row>
    <row r="118" spans="1:10">
      <c r="A118" s="186" t="s">
        <v>544</v>
      </c>
      <c r="B118" s="200" t="s">
        <v>624</v>
      </c>
      <c r="C118" s="188">
        <v>47</v>
      </c>
      <c r="D118" s="196" t="s">
        <v>48</v>
      </c>
      <c r="E118" s="195"/>
      <c r="F118" s="196" t="s">
        <v>545</v>
      </c>
      <c r="G118" s="197" t="s">
        <v>186</v>
      </c>
      <c r="H118" s="186">
        <v>0</v>
      </c>
      <c r="I118" s="186"/>
      <c r="J118" s="206">
        <f t="shared" si="1"/>
        <v>0</v>
      </c>
    </row>
    <row r="119" spans="1:10">
      <c r="A119" s="186" t="s">
        <v>544</v>
      </c>
      <c r="B119" s="200" t="s">
        <v>624</v>
      </c>
      <c r="C119" s="188">
        <v>48</v>
      </c>
      <c r="D119" s="196" t="s">
        <v>49</v>
      </c>
      <c r="E119" s="195"/>
      <c r="F119" s="196" t="s">
        <v>545</v>
      </c>
      <c r="G119" s="197" t="s">
        <v>187</v>
      </c>
      <c r="H119" s="186">
        <v>0</v>
      </c>
      <c r="I119" s="186"/>
      <c r="J119" s="206">
        <f t="shared" si="1"/>
        <v>0</v>
      </c>
    </row>
    <row r="120" spans="1:10">
      <c r="A120" s="186" t="s">
        <v>544</v>
      </c>
      <c r="B120" s="200" t="s">
        <v>624</v>
      </c>
      <c r="C120" s="188">
        <v>113</v>
      </c>
      <c r="D120" s="196" t="s">
        <v>59</v>
      </c>
      <c r="E120" s="195"/>
      <c r="F120" s="196" t="s">
        <v>545</v>
      </c>
      <c r="G120" s="197" t="s">
        <v>189</v>
      </c>
      <c r="H120" s="186">
        <v>0</v>
      </c>
      <c r="I120" s="186"/>
      <c r="J120" s="206">
        <f t="shared" si="1"/>
        <v>0</v>
      </c>
    </row>
    <row r="121" spans="1:10">
      <c r="A121" s="186" t="s">
        <v>544</v>
      </c>
      <c r="B121" s="200" t="s">
        <v>624</v>
      </c>
      <c r="C121" s="188">
        <v>61</v>
      </c>
      <c r="D121" s="196" t="s">
        <v>77</v>
      </c>
      <c r="E121" s="195"/>
      <c r="F121" s="196" t="s">
        <v>545</v>
      </c>
      <c r="G121" s="197" t="s">
        <v>196</v>
      </c>
      <c r="H121" s="186">
        <v>0</v>
      </c>
      <c r="I121" s="186"/>
      <c r="J121" s="206">
        <f t="shared" si="1"/>
        <v>0</v>
      </c>
    </row>
    <row r="122" spans="1:10">
      <c r="A122" s="186" t="s">
        <v>544</v>
      </c>
      <c r="B122" s="200" t="s">
        <v>624</v>
      </c>
      <c r="C122" s="188">
        <v>83</v>
      </c>
      <c r="D122" s="196" t="s">
        <v>50</v>
      </c>
      <c r="E122" s="195"/>
      <c r="F122" s="196" t="s">
        <v>545</v>
      </c>
      <c r="G122" s="197" t="s">
        <v>201</v>
      </c>
      <c r="H122" s="186">
        <v>0</v>
      </c>
      <c r="I122" s="186"/>
      <c r="J122" s="206">
        <f t="shared" si="1"/>
        <v>0</v>
      </c>
    </row>
    <row r="123" spans="1:10">
      <c r="A123" s="186" t="s">
        <v>544</v>
      </c>
      <c r="B123" s="200" t="s">
        <v>624</v>
      </c>
      <c r="C123" s="188">
        <v>97</v>
      </c>
      <c r="D123" s="196" t="s">
        <v>51</v>
      </c>
      <c r="E123" s="195"/>
      <c r="F123" s="196" t="s">
        <v>545</v>
      </c>
      <c r="G123" s="197" t="s">
        <v>206</v>
      </c>
      <c r="H123" s="186">
        <v>0</v>
      </c>
      <c r="I123" s="186"/>
      <c r="J123" s="206">
        <f t="shared" si="1"/>
        <v>0</v>
      </c>
    </row>
    <row r="124" spans="1:10">
      <c r="A124" s="186" t="s">
        <v>544</v>
      </c>
      <c r="B124" s="200" t="s">
        <v>624</v>
      </c>
      <c r="C124" s="188">
        <v>98</v>
      </c>
      <c r="D124" s="196" t="s">
        <v>52</v>
      </c>
      <c r="E124" s="195"/>
      <c r="F124" s="196" t="s">
        <v>545</v>
      </c>
      <c r="G124" s="197" t="s">
        <v>207</v>
      </c>
      <c r="H124" s="186">
        <v>0</v>
      </c>
      <c r="I124" s="186"/>
      <c r="J124" s="206">
        <f t="shared" si="1"/>
        <v>0</v>
      </c>
    </row>
    <row r="125" spans="1:10">
      <c r="A125" s="186" t="s">
        <v>544</v>
      </c>
      <c r="B125" s="200" t="s">
        <v>624</v>
      </c>
      <c r="C125" s="188">
        <v>99</v>
      </c>
      <c r="D125" s="196" t="s">
        <v>53</v>
      </c>
      <c r="E125" s="195"/>
      <c r="F125" s="196" t="s">
        <v>545</v>
      </c>
      <c r="G125" s="197" t="s">
        <v>208</v>
      </c>
      <c r="H125" s="186">
        <v>0</v>
      </c>
      <c r="I125" s="186"/>
      <c r="J125" s="206">
        <f t="shared" si="1"/>
        <v>0</v>
      </c>
    </row>
    <row r="126" spans="1:10">
      <c r="A126" s="186" t="s">
        <v>544</v>
      </c>
      <c r="B126" s="200" t="s">
        <v>624</v>
      </c>
      <c r="C126" s="188">
        <v>100</v>
      </c>
      <c r="D126" s="196" t="s">
        <v>54</v>
      </c>
      <c r="E126" s="195"/>
      <c r="F126" s="196" t="s">
        <v>545</v>
      </c>
      <c r="G126" s="197" t="s">
        <v>209</v>
      </c>
      <c r="H126" s="186">
        <v>0</v>
      </c>
      <c r="I126" s="186"/>
      <c r="J126" s="206">
        <f t="shared" si="1"/>
        <v>0</v>
      </c>
    </row>
    <row r="127" spans="1:10">
      <c r="A127" s="186" t="s">
        <v>544</v>
      </c>
      <c r="B127" s="200" t="s">
        <v>624</v>
      </c>
      <c r="C127" s="188">
        <v>102</v>
      </c>
      <c r="D127" s="196" t="s">
        <v>55</v>
      </c>
      <c r="E127" s="195"/>
      <c r="F127" s="196" t="s">
        <v>545</v>
      </c>
      <c r="G127" s="197" t="s">
        <v>211</v>
      </c>
      <c r="H127" s="186">
        <v>0</v>
      </c>
      <c r="I127" s="186"/>
      <c r="J127" s="206">
        <f t="shared" si="1"/>
        <v>0</v>
      </c>
    </row>
    <row r="128" spans="1:10">
      <c r="A128" s="186" t="s">
        <v>544</v>
      </c>
      <c r="B128" s="200" t="s">
        <v>624</v>
      </c>
      <c r="C128" s="188">
        <v>103</v>
      </c>
      <c r="D128" s="196" t="s">
        <v>56</v>
      </c>
      <c r="E128" s="195"/>
      <c r="F128" s="196" t="s">
        <v>545</v>
      </c>
      <c r="G128" s="197" t="s">
        <v>212</v>
      </c>
      <c r="H128" s="186">
        <v>0</v>
      </c>
      <c r="I128" s="186"/>
      <c r="J128" s="206">
        <f t="shared" si="1"/>
        <v>0</v>
      </c>
    </row>
    <row r="129" spans="1:10">
      <c r="A129" s="186" t="s">
        <v>544</v>
      </c>
      <c r="B129" s="200" t="s">
        <v>624</v>
      </c>
      <c r="C129" s="188">
        <v>108</v>
      </c>
      <c r="D129" s="196" t="s">
        <v>57</v>
      </c>
      <c r="E129" s="195"/>
      <c r="F129" s="196" t="s">
        <v>545</v>
      </c>
      <c r="G129" s="197" t="s">
        <v>214</v>
      </c>
      <c r="H129" s="186">
        <v>0</v>
      </c>
      <c r="I129" s="186"/>
      <c r="J129" s="206">
        <f t="shared" si="1"/>
        <v>0</v>
      </c>
    </row>
    <row r="130" spans="1:10">
      <c r="A130" s="186" t="s">
        <v>544</v>
      </c>
      <c r="B130" s="200" t="s">
        <v>624</v>
      </c>
      <c r="C130" s="188">
        <v>111</v>
      </c>
      <c r="D130" s="196" t="s">
        <v>58</v>
      </c>
      <c r="E130" s="195"/>
      <c r="F130" s="196" t="s">
        <v>545</v>
      </c>
      <c r="G130" s="197" t="s">
        <v>215</v>
      </c>
      <c r="H130" s="186">
        <v>0</v>
      </c>
      <c r="I130" s="186"/>
      <c r="J130" s="206">
        <f t="shared" si="1"/>
        <v>0</v>
      </c>
    </row>
    <row r="131" spans="1:10">
      <c r="A131" s="186" t="s">
        <v>544</v>
      </c>
      <c r="B131" s="200" t="s">
        <v>624</v>
      </c>
      <c r="C131" s="188">
        <v>114</v>
      </c>
      <c r="D131" s="196" t="s">
        <v>60</v>
      </c>
      <c r="E131" s="195"/>
      <c r="F131" s="196" t="s">
        <v>545</v>
      </c>
      <c r="G131" s="197" t="s">
        <v>216</v>
      </c>
      <c r="H131" s="186">
        <v>0</v>
      </c>
      <c r="I131" s="186"/>
      <c r="J131" s="206">
        <f t="shared" si="1"/>
        <v>0</v>
      </c>
    </row>
    <row r="132" spans="1:10">
      <c r="A132" s="186" t="s">
        <v>544</v>
      </c>
      <c r="B132" s="200" t="s">
        <v>624</v>
      </c>
      <c r="C132" s="188">
        <v>116</v>
      </c>
      <c r="D132" s="196" t="s">
        <v>61</v>
      </c>
      <c r="E132" s="195"/>
      <c r="F132" s="196" t="s">
        <v>545</v>
      </c>
      <c r="G132" s="197" t="s">
        <v>217</v>
      </c>
      <c r="H132" s="186">
        <v>0</v>
      </c>
      <c r="I132" s="186"/>
      <c r="J132" s="206">
        <f t="shared" si="1"/>
        <v>0</v>
      </c>
    </row>
    <row r="133" spans="1:10">
      <c r="A133" s="186" t="s">
        <v>544</v>
      </c>
      <c r="B133" s="200" t="s">
        <v>624</v>
      </c>
      <c r="C133" s="188">
        <v>122</v>
      </c>
      <c r="D133" s="196" t="s">
        <v>62</v>
      </c>
      <c r="E133" s="195"/>
      <c r="F133" s="196" t="s">
        <v>545</v>
      </c>
      <c r="G133" s="197" t="s">
        <v>222</v>
      </c>
      <c r="H133" s="186">
        <v>0</v>
      </c>
      <c r="I133" s="186"/>
      <c r="J133" s="206">
        <f t="shared" si="1"/>
        <v>0</v>
      </c>
    </row>
    <row r="134" spans="1:10">
      <c r="A134" s="186" t="s">
        <v>544</v>
      </c>
      <c r="B134" s="200" t="s">
        <v>624</v>
      </c>
      <c r="C134" s="188">
        <v>124</v>
      </c>
      <c r="D134" s="196" t="s">
        <v>63</v>
      </c>
      <c r="E134" s="195"/>
      <c r="F134" s="196" t="s">
        <v>545</v>
      </c>
      <c r="G134" s="197" t="s">
        <v>223</v>
      </c>
      <c r="H134" s="186">
        <v>0</v>
      </c>
      <c r="I134" s="186"/>
      <c r="J134" s="206">
        <f t="shared" si="1"/>
        <v>0</v>
      </c>
    </row>
    <row r="135" spans="1:10">
      <c r="A135" s="186" t="s">
        <v>544</v>
      </c>
      <c r="B135" s="200" t="s">
        <v>624</v>
      </c>
      <c r="C135" s="188">
        <v>126</v>
      </c>
      <c r="D135" s="196" t="s">
        <v>64</v>
      </c>
      <c r="E135" s="195"/>
      <c r="F135" s="196" t="s">
        <v>545</v>
      </c>
      <c r="G135" s="197" t="s">
        <v>224</v>
      </c>
      <c r="H135" s="186">
        <v>0</v>
      </c>
      <c r="I135" s="186"/>
      <c r="J135" s="206">
        <f t="shared" si="1"/>
        <v>0</v>
      </c>
    </row>
    <row r="136" spans="1:10">
      <c r="A136" s="186" t="s">
        <v>544</v>
      </c>
      <c r="B136" s="200" t="s">
        <v>624</v>
      </c>
      <c r="C136" s="188">
        <v>128</v>
      </c>
      <c r="D136" s="196" t="s">
        <v>65</v>
      </c>
      <c r="E136" s="195"/>
      <c r="F136" s="196" t="s">
        <v>545</v>
      </c>
      <c r="G136" s="197" t="s">
        <v>225</v>
      </c>
      <c r="H136" s="186">
        <v>0</v>
      </c>
      <c r="I136" s="186"/>
      <c r="J136" s="206">
        <f t="shared" si="1"/>
        <v>0</v>
      </c>
    </row>
    <row r="137" spans="1:10">
      <c r="A137" s="186" t="s">
        <v>544</v>
      </c>
      <c r="B137" s="200" t="s">
        <v>624</v>
      </c>
      <c r="C137" s="188">
        <v>134</v>
      </c>
      <c r="D137" s="196" t="s">
        <v>67</v>
      </c>
      <c r="E137" s="195"/>
      <c r="F137" s="196" t="s">
        <v>545</v>
      </c>
      <c r="G137" s="197" t="s">
        <v>227</v>
      </c>
      <c r="H137" s="186">
        <v>0</v>
      </c>
      <c r="I137" s="186"/>
      <c r="J137" s="206">
        <f t="shared" si="1"/>
        <v>0</v>
      </c>
    </row>
    <row r="138" spans="1:10">
      <c r="A138" s="186" t="s">
        <v>544</v>
      </c>
      <c r="B138" s="200" t="s">
        <v>624</v>
      </c>
      <c r="C138" s="188">
        <v>135</v>
      </c>
      <c r="D138" s="196" t="s">
        <v>66</v>
      </c>
      <c r="E138" s="195"/>
      <c r="F138" s="196" t="s">
        <v>545</v>
      </c>
      <c r="G138" s="197" t="s">
        <v>228</v>
      </c>
      <c r="H138" s="186">
        <v>0</v>
      </c>
      <c r="I138" s="186"/>
      <c r="J138" s="206">
        <f t="shared" si="1"/>
        <v>0</v>
      </c>
    </row>
    <row r="139" spans="1:10">
      <c r="A139" s="186" t="s">
        <v>544</v>
      </c>
      <c r="B139" s="200" t="s">
        <v>624</v>
      </c>
      <c r="C139" s="188">
        <v>139</v>
      </c>
      <c r="D139" s="196" t="s">
        <v>68</v>
      </c>
      <c r="E139" s="195"/>
      <c r="F139" s="196" t="s">
        <v>545</v>
      </c>
      <c r="G139" s="197" t="s">
        <v>230</v>
      </c>
      <c r="H139" s="186">
        <v>0</v>
      </c>
      <c r="I139" s="186"/>
      <c r="J139" s="206">
        <f t="shared" si="1"/>
        <v>0</v>
      </c>
    </row>
    <row r="140" spans="1:10">
      <c r="A140" s="186" t="s">
        <v>544</v>
      </c>
      <c r="B140" s="200" t="s">
        <v>624</v>
      </c>
      <c r="C140" s="188">
        <v>237</v>
      </c>
      <c r="D140" s="196" t="s">
        <v>72</v>
      </c>
      <c r="E140" s="195"/>
      <c r="F140" s="196" t="s">
        <v>545</v>
      </c>
      <c r="G140" s="197" t="s">
        <v>232</v>
      </c>
      <c r="H140" s="186">
        <v>0</v>
      </c>
      <c r="I140" s="186"/>
      <c r="J140" s="206">
        <f t="shared" si="1"/>
        <v>0</v>
      </c>
    </row>
    <row r="141" spans="1:10">
      <c r="A141" s="186" t="s">
        <v>544</v>
      </c>
      <c r="B141" s="200" t="s">
        <v>624</v>
      </c>
      <c r="C141" s="188">
        <v>143</v>
      </c>
      <c r="D141" s="196" t="s">
        <v>69</v>
      </c>
      <c r="E141" s="195"/>
      <c r="F141" s="196" t="s">
        <v>545</v>
      </c>
      <c r="G141" s="197" t="s">
        <v>235</v>
      </c>
      <c r="H141" s="186">
        <v>0</v>
      </c>
      <c r="I141" s="186"/>
      <c r="J141" s="206">
        <f t="shared" ref="J141:J147" si="2">ROUND(H141*$J$2/1000,5)</f>
        <v>0</v>
      </c>
    </row>
    <row r="142" spans="1:10">
      <c r="A142" s="186" t="s">
        <v>544</v>
      </c>
      <c r="B142" s="200" t="s">
        <v>624</v>
      </c>
      <c r="C142" s="188">
        <v>145</v>
      </c>
      <c r="D142" s="196" t="s">
        <v>70</v>
      </c>
      <c r="E142" s="195"/>
      <c r="F142" s="196" t="s">
        <v>545</v>
      </c>
      <c r="G142" s="197" t="s">
        <v>236</v>
      </c>
      <c r="H142" s="186">
        <v>0</v>
      </c>
      <c r="I142" s="186"/>
      <c r="J142" s="206">
        <f t="shared" si="2"/>
        <v>0</v>
      </c>
    </row>
    <row r="143" spans="1:10">
      <c r="A143" s="186" t="s">
        <v>544</v>
      </c>
      <c r="B143" s="200" t="s">
        <v>624</v>
      </c>
      <c r="C143" s="188">
        <v>147</v>
      </c>
      <c r="D143" s="196" t="s">
        <v>71</v>
      </c>
      <c r="E143" s="195"/>
      <c r="F143" s="196" t="s">
        <v>545</v>
      </c>
      <c r="G143" s="197" t="s">
        <v>237</v>
      </c>
      <c r="H143" s="186">
        <v>0</v>
      </c>
      <c r="I143" s="186"/>
      <c r="J143" s="206">
        <f t="shared" si="2"/>
        <v>0</v>
      </c>
    </row>
    <row r="144" spans="1:10">
      <c r="A144" s="186" t="s">
        <v>544</v>
      </c>
      <c r="B144" s="200" t="s">
        <v>624</v>
      </c>
      <c r="C144" s="188">
        <v>158</v>
      </c>
      <c r="D144" s="196" t="s">
        <v>73</v>
      </c>
      <c r="E144" s="195"/>
      <c r="F144" s="196" t="s">
        <v>545</v>
      </c>
      <c r="G144" s="197" t="s">
        <v>242</v>
      </c>
      <c r="H144" s="186">
        <v>23.353999999999999</v>
      </c>
      <c r="I144" s="196" t="s">
        <v>649</v>
      </c>
      <c r="J144" s="206">
        <f t="shared" si="2"/>
        <v>145.58884</v>
      </c>
    </row>
    <row r="145" spans="1:10">
      <c r="A145" s="186" t="s">
        <v>544</v>
      </c>
      <c r="B145" s="200" t="s">
        <v>624</v>
      </c>
      <c r="C145" s="188">
        <v>166</v>
      </c>
      <c r="D145" s="196" t="s">
        <v>74</v>
      </c>
      <c r="E145" s="195"/>
      <c r="F145" s="196" t="s">
        <v>545</v>
      </c>
      <c r="G145" s="197" t="s">
        <v>246</v>
      </c>
      <c r="H145" s="186">
        <v>0</v>
      </c>
      <c r="I145" s="186"/>
      <c r="J145" s="206">
        <f t="shared" si="2"/>
        <v>0</v>
      </c>
    </row>
    <row r="146" spans="1:10">
      <c r="A146" s="186" t="s">
        <v>544</v>
      </c>
      <c r="B146" s="200" t="s">
        <v>624</v>
      </c>
      <c r="C146" s="188">
        <v>174</v>
      </c>
      <c r="D146" s="196" t="s">
        <v>75</v>
      </c>
      <c r="E146" s="195"/>
      <c r="F146" s="196" t="s">
        <v>545</v>
      </c>
      <c r="G146" s="197" t="s">
        <v>250</v>
      </c>
      <c r="H146" s="186">
        <v>0</v>
      </c>
      <c r="I146" s="186"/>
      <c r="J146" s="206">
        <f t="shared" si="2"/>
        <v>0</v>
      </c>
    </row>
    <row r="147" spans="1:10">
      <c r="A147" s="186" t="s">
        <v>544</v>
      </c>
      <c r="B147" s="200" t="s">
        <v>624</v>
      </c>
      <c r="C147" s="188">
        <v>177</v>
      </c>
      <c r="D147" s="196" t="s">
        <v>76</v>
      </c>
      <c r="E147" s="195"/>
      <c r="F147" s="196" t="s">
        <v>545</v>
      </c>
      <c r="G147" s="197" t="s">
        <v>252</v>
      </c>
      <c r="H147" s="186">
        <v>0</v>
      </c>
      <c r="I147" s="186"/>
      <c r="J147" s="206">
        <f t="shared" si="2"/>
        <v>0</v>
      </c>
    </row>
  </sheetData>
  <autoFilter ref="A10:J147">
    <filterColumn colId="1">
      <filters>
        <filter val="нси304"/>
      </filters>
    </filterColumn>
  </autoFilter>
  <mergeCells count="10">
    <mergeCell ref="J4:J5"/>
    <mergeCell ref="I3:I5"/>
    <mergeCell ref="H3:H5"/>
    <mergeCell ref="F3:F5"/>
    <mergeCell ref="G3:G5"/>
    <mergeCell ref="A3:A5"/>
    <mergeCell ref="B3:B5"/>
    <mergeCell ref="C3:C5"/>
    <mergeCell ref="D3:D5"/>
    <mergeCell ref="E3:E5"/>
  </mergeCells>
  <pageMargins left="0.19685039370078741" right="0.19685039370078741" top="0.19685039370078741" bottom="0.19685039370078741" header="0.51181102362204722" footer="0.51181102362204722"/>
  <pageSetup paperSize="9" scale="10" fitToWidth="1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Sheet1 (3)</vt:lpstr>
      <vt:lpstr>Sheet1 (2)</vt:lpstr>
      <vt:lpstr>зпшк</vt:lpstr>
      <vt:lpstr>форма</vt:lpstr>
      <vt:lpstr>форма 1</vt:lpstr>
      <vt:lpstr>норм2016</vt:lpstr>
      <vt:lpstr>прогноз на 20.05.12 (ср.шк)</vt:lpstr>
      <vt:lpstr>прогноз на 20.05.12</vt:lpstr>
      <vt:lpstr>газ</vt:lpstr>
      <vt:lpstr>газ!Заголовки_для_печати</vt:lpstr>
      <vt:lpstr>зпшк!Заголовки_для_печати</vt:lpstr>
      <vt:lpstr>'прогноз на 20.05.12 (ср.шк)'!Заголовки_для_печати</vt:lpstr>
      <vt:lpstr>форма!Заголовки_для_печати</vt:lpstr>
      <vt:lpstr>газ!Область_печати</vt:lpstr>
      <vt:lpstr>зпшк!Область_печати</vt:lpstr>
      <vt:lpstr>'прогноз на 20.05.12 (ср.шк)'!Область_печати</vt:lpstr>
      <vt:lpstr>форма!Область_печати</vt:lpstr>
    </vt:vector>
  </TitlesOfParts>
  <Company>FBP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Ильшат К. Саматов</dc:creator>
  <cp:lastModifiedBy>Айгуль</cp:lastModifiedBy>
  <cp:lastPrinted>2014-12-22T07:39:30Z</cp:lastPrinted>
  <dcterms:created xsi:type="dcterms:W3CDTF">2012-01-02T07:06:00Z</dcterms:created>
  <dcterms:modified xsi:type="dcterms:W3CDTF">2017-10-23T08:07:57Z</dcterms:modified>
</cp:coreProperties>
</file>